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defaultThemeVersion="124226"/>
  <mc:AlternateContent xmlns:mc="http://schemas.openxmlformats.org/markup-compatibility/2006">
    <mc:Choice Requires="x15">
      <x15ac:absPath xmlns:x15ac="http://schemas.microsoft.com/office/spreadsheetml/2010/11/ac" url="https://sabresysinc-my.sharepoint.us/personal/mbodoh_sabresystems_com/Documents/CRRTDEV/readinessStandards/attachments/"/>
    </mc:Choice>
  </mc:AlternateContent>
  <xr:revisionPtr revIDLastSave="0" documentId="8_{73F8ABD7-ECFA-4CF5-AD1A-1B0E76509655}" xr6:coauthVersionLast="47" xr6:coauthVersionMax="47" xr10:uidLastSave="{00000000-0000-0000-0000-000000000000}"/>
  <bookViews>
    <workbookView xWindow="-120" yWindow="-120" windowWidth="29040" windowHeight="15840" tabRatio="837" xr2:uid="{00000000-000D-0000-FFFF-FFFF00000000}"/>
  </bookViews>
  <sheets>
    <sheet name="Inventory" sheetId="10" r:id="rId1"/>
    <sheet name="Log" sheetId="11" r:id="rId2"/>
    <sheet name="VAW E-2D CVW DRRS(U)" sheetId="12" r:id="rId3"/>
    <sheet name="VAW E-2C FDNF DRRS(U)" sheetId="7" state="hidden" r:id="rId4"/>
    <sheet name="VAW E2D FDNF DRRS(U)" sheetId="13" r:id="rId5"/>
    <sheet name="VAW E-2C CVW DRRS(U)" sheetId="1" r:id="rId6"/>
    <sheet name="VAW (E-2C-D FRS)" sheetId="20" r:id="rId7"/>
    <sheet name="VAW E-2D PDAA" sheetId="24" r:id="rId8"/>
    <sheet name="VAW E-2C Reduced MET Matrix" sheetId="22" r:id="rId9"/>
    <sheet name="VAW E-2D Reduced MET Matrix" sheetId="19" r:id="rId10"/>
    <sheet name="E-2 Mission System Summary" sheetId="23" r:id="rId11"/>
    <sheet name="VAW E-2C Mission Systems" sheetId="18" r:id="rId12"/>
    <sheet name="VAW E-2D Mission Systems" sheetId="17" r:id="rId13"/>
    <sheet name="Definitions" sheetId="21" r:id="rId14"/>
  </sheets>
  <externalReferences>
    <externalReference r:id="rId15"/>
  </externalReferences>
  <definedNames>
    <definedName name="NDEPUTIL" localSheetId="3">'[1]HSC EXP 2 AC CSG ESG W FRS STND'!#REF!</definedName>
    <definedName name="_xlnm.Print_Area" localSheetId="3">'VAW E-2C FDNF DRRS(U)'!$A$1:$M$65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0" l="1"/>
  <c r="D6" i="10"/>
  <c r="E6" i="10" s="1"/>
  <c r="A6" i="10"/>
  <c r="B19" i="24"/>
  <c r="B21" i="24" s="1"/>
  <c r="B20" i="24" l="1"/>
  <c r="B128" i="1" l="1"/>
  <c r="A128" i="1"/>
  <c r="B127" i="1"/>
  <c r="A127" i="1"/>
  <c r="B126" i="1"/>
  <c r="A126" i="1"/>
  <c r="B125" i="1"/>
  <c r="A125" i="1"/>
  <c r="B124" i="1"/>
  <c r="A124" i="1"/>
  <c r="B123" i="1"/>
  <c r="A123" i="1"/>
  <c r="B130" i="13"/>
  <c r="A130" i="13"/>
  <c r="B129" i="13"/>
  <c r="A129" i="13"/>
  <c r="B128" i="13"/>
  <c r="A128" i="13"/>
  <c r="B127" i="13"/>
  <c r="A127" i="13"/>
  <c r="B126" i="13"/>
  <c r="A126" i="13"/>
  <c r="B125" i="13"/>
  <c r="A125" i="13"/>
  <c r="B124" i="13"/>
  <c r="A124" i="13"/>
  <c r="B123" i="13"/>
  <c r="A123" i="13"/>
  <c r="F2" i="23"/>
  <c r="B122" i="1" s="1"/>
  <c r="C2" i="23"/>
  <c r="B122" i="12" s="1"/>
  <c r="D2" i="23"/>
  <c r="B122" i="13" s="1"/>
  <c r="B2" i="23"/>
  <c r="A123" i="12"/>
  <c r="A124" i="12"/>
  <c r="A125" i="12"/>
  <c r="A126" i="12"/>
  <c r="A127" i="12"/>
  <c r="A128" i="12"/>
  <c r="A129" i="12"/>
  <c r="A130" i="12"/>
  <c r="B130" i="12"/>
  <c r="B129" i="12"/>
  <c r="B128" i="12"/>
  <c r="B127" i="12"/>
  <c r="B126" i="12"/>
  <c r="B125" i="12"/>
  <c r="B124" i="12"/>
  <c r="B123" i="12"/>
  <c r="D9" i="10"/>
  <c r="E9" i="10" s="1"/>
  <c r="A9" i="10"/>
  <c r="B18" i="20" l="1"/>
  <c r="C18" i="20"/>
  <c r="A112" i="13" l="1"/>
  <c r="C5" i="10"/>
  <c r="C3" i="10"/>
  <c r="C4" i="10"/>
  <c r="C2" i="10"/>
  <c r="A112" i="12" l="1"/>
  <c r="A7" i="10" l="1"/>
  <c r="D7" i="10"/>
  <c r="E7" i="10" s="1"/>
  <c r="E12" i="10"/>
  <c r="E13" i="10"/>
  <c r="E14" i="10"/>
  <c r="D5" i="10"/>
  <c r="E5" i="10" s="1"/>
  <c r="A5" i="10"/>
  <c r="A115" i="13"/>
  <c r="A112" i="1"/>
  <c r="D112" i="1"/>
  <c r="F112" i="1"/>
  <c r="A115" i="12"/>
  <c r="AC33" i="1"/>
  <c r="AB33" i="1"/>
  <c r="AB45" i="1" s="1"/>
  <c r="AA33" i="1"/>
  <c r="AA45" i="1" s="1"/>
  <c r="Z33" i="1"/>
  <c r="Z45" i="1" s="1"/>
  <c r="Y33" i="1"/>
  <c r="Y45" i="1" s="1"/>
  <c r="X33" i="1"/>
  <c r="X45" i="1" s="1"/>
  <c r="W33" i="1"/>
  <c r="W45" i="1" s="1"/>
  <c r="V33" i="1"/>
  <c r="V45" i="1" s="1"/>
  <c r="U33" i="1"/>
  <c r="U45" i="1" s="1"/>
  <c r="T33" i="1"/>
  <c r="T45" i="1" s="1"/>
  <c r="S33" i="1"/>
  <c r="S45" i="1" s="1"/>
  <c r="R33" i="1"/>
  <c r="R45" i="1" s="1"/>
  <c r="Q33" i="1"/>
  <c r="Q45" i="1" s="1"/>
  <c r="P33" i="1"/>
  <c r="P45" i="1" s="1"/>
  <c r="O33" i="1"/>
  <c r="O45" i="1" s="1"/>
  <c r="N33" i="1"/>
  <c r="N45" i="1" s="1"/>
  <c r="M33" i="1"/>
  <c r="M45" i="1" s="1"/>
  <c r="L33" i="1"/>
  <c r="L45" i="1" s="1"/>
  <c r="K33" i="1"/>
  <c r="K45" i="1" s="1"/>
  <c r="J33" i="1"/>
  <c r="I33" i="1"/>
  <c r="H33" i="1"/>
  <c r="G33" i="1"/>
  <c r="F33" i="1"/>
  <c r="E33" i="1"/>
  <c r="D33" i="1"/>
  <c r="C33" i="1"/>
  <c r="B33" i="1"/>
  <c r="C33" i="12"/>
  <c r="C36" i="12" s="1"/>
  <c r="D33" i="12"/>
  <c r="E33" i="12"/>
  <c r="F33" i="12"/>
  <c r="G33" i="12"/>
  <c r="H33" i="12"/>
  <c r="H36" i="12" s="1"/>
  <c r="I33" i="12"/>
  <c r="I36" i="12" s="1"/>
  <c r="J33" i="12"/>
  <c r="K33" i="12"/>
  <c r="L33" i="12"/>
  <c r="M33" i="12"/>
  <c r="N33" i="12"/>
  <c r="O33" i="12"/>
  <c r="P33" i="12"/>
  <c r="Q33" i="12"/>
  <c r="R33" i="12"/>
  <c r="S33" i="12"/>
  <c r="T33" i="12"/>
  <c r="T36" i="12" s="1"/>
  <c r="U33" i="12"/>
  <c r="V33" i="12"/>
  <c r="W33" i="12"/>
  <c r="W36" i="12" s="1"/>
  <c r="X33" i="12"/>
  <c r="X36" i="12" s="1"/>
  <c r="Y33" i="12"/>
  <c r="Z33" i="12"/>
  <c r="AA33" i="12"/>
  <c r="AB33" i="12"/>
  <c r="AC33" i="12"/>
  <c r="B33" i="12"/>
  <c r="D8" i="10"/>
  <c r="E8" i="10" s="1"/>
  <c r="A8" i="10"/>
  <c r="A108" i="12"/>
  <c r="D11" i="10"/>
  <c r="E11" i="10" s="1"/>
  <c r="D10" i="10"/>
  <c r="E10" i="10" s="1"/>
  <c r="A11" i="10"/>
  <c r="A10" i="10"/>
  <c r="D3" i="10"/>
  <c r="E3" i="10" s="1"/>
  <c r="A3" i="10"/>
  <c r="C62" i="1"/>
  <c r="D62" i="1"/>
  <c r="E62" i="1"/>
  <c r="F62" i="1"/>
  <c r="G62" i="1"/>
  <c r="H62" i="1"/>
  <c r="I62" i="1"/>
  <c r="J62" i="1"/>
  <c r="K62" i="1"/>
  <c r="L62" i="1"/>
  <c r="M62" i="1"/>
  <c r="N62" i="1"/>
  <c r="O62" i="1"/>
  <c r="P62" i="1"/>
  <c r="Q62" i="1"/>
  <c r="R62" i="1"/>
  <c r="S62" i="1"/>
  <c r="T62" i="1"/>
  <c r="U62" i="1"/>
  <c r="V62" i="1"/>
  <c r="W62" i="1"/>
  <c r="X62" i="1"/>
  <c r="Y62" i="1"/>
  <c r="Z62" i="1"/>
  <c r="AA62" i="1"/>
  <c r="AB62" i="1"/>
  <c r="AC62" i="1"/>
  <c r="B62" i="1"/>
  <c r="A114" i="13"/>
  <c r="A113" i="13"/>
  <c r="A111" i="13"/>
  <c r="A110" i="13"/>
  <c r="A109" i="13"/>
  <c r="A108" i="13"/>
  <c r="B78" i="13" a="1"/>
  <c r="B78" i="13" s="1"/>
  <c r="I77" i="13"/>
  <c r="H77" i="13"/>
  <c r="G77" i="13"/>
  <c r="C77" i="13"/>
  <c r="B77" i="13"/>
  <c r="I76" i="13"/>
  <c r="H76" i="13"/>
  <c r="G76" i="13"/>
  <c r="C76" i="13"/>
  <c r="B76" i="13"/>
  <c r="A60" i="13"/>
  <c r="N59" i="13"/>
  <c r="M59" i="13"/>
  <c r="L59" i="13"/>
  <c r="K59" i="13"/>
  <c r="J59" i="13"/>
  <c r="I59" i="13"/>
  <c r="H59" i="13"/>
  <c r="G59" i="13"/>
  <c r="F59" i="13"/>
  <c r="E59" i="13"/>
  <c r="D59" i="13"/>
  <c r="C59" i="13"/>
  <c r="B59" i="13"/>
  <c r="N58" i="13"/>
  <c r="M58" i="13"/>
  <c r="L58" i="13"/>
  <c r="K58" i="13"/>
  <c r="J58" i="13"/>
  <c r="I58" i="13"/>
  <c r="H58" i="13"/>
  <c r="G58" i="13"/>
  <c r="F58" i="13"/>
  <c r="E58" i="13"/>
  <c r="D58" i="13"/>
  <c r="C58" i="13"/>
  <c r="B58" i="13"/>
  <c r="N57" i="13"/>
  <c r="M57" i="13"/>
  <c r="L57" i="13"/>
  <c r="K57" i="13"/>
  <c r="J57" i="13"/>
  <c r="I57" i="13"/>
  <c r="H57" i="13"/>
  <c r="G57" i="13"/>
  <c r="F57" i="13"/>
  <c r="E57" i="13"/>
  <c r="D57" i="13"/>
  <c r="C57" i="13"/>
  <c r="B57" i="13"/>
  <c r="N56" i="13"/>
  <c r="M56" i="13"/>
  <c r="L56" i="13"/>
  <c r="K56" i="13"/>
  <c r="J56" i="13"/>
  <c r="I56" i="13"/>
  <c r="H56" i="13"/>
  <c r="G56" i="13"/>
  <c r="F56" i="13"/>
  <c r="E56" i="13"/>
  <c r="D56" i="13"/>
  <c r="C56" i="13"/>
  <c r="B56" i="13"/>
  <c r="N55" i="13"/>
  <c r="M55" i="13"/>
  <c r="L55" i="13"/>
  <c r="K55" i="13"/>
  <c r="J55" i="13"/>
  <c r="I55" i="13"/>
  <c r="H55" i="13"/>
  <c r="G55" i="13"/>
  <c r="F55" i="13"/>
  <c r="E55" i="13"/>
  <c r="D55" i="13"/>
  <c r="C55" i="13"/>
  <c r="B55" i="13"/>
  <c r="N54" i="13"/>
  <c r="M54" i="13"/>
  <c r="L54" i="13"/>
  <c r="K54" i="13"/>
  <c r="J54" i="13"/>
  <c r="I54" i="13"/>
  <c r="H54" i="13"/>
  <c r="G54" i="13"/>
  <c r="F54" i="13"/>
  <c r="E54" i="13"/>
  <c r="D54" i="13"/>
  <c r="C54" i="13"/>
  <c r="B54" i="13"/>
  <c r="N53" i="13"/>
  <c r="M53" i="13"/>
  <c r="L53" i="13"/>
  <c r="K53" i="13"/>
  <c r="J53" i="13"/>
  <c r="I53" i="13"/>
  <c r="H53" i="13"/>
  <c r="G53" i="13"/>
  <c r="F53" i="13"/>
  <c r="E53" i="13"/>
  <c r="D53" i="13"/>
  <c r="C53" i="13"/>
  <c r="B53" i="13"/>
  <c r="N52" i="13"/>
  <c r="M52" i="13"/>
  <c r="L52" i="13"/>
  <c r="K52" i="13"/>
  <c r="J52" i="13"/>
  <c r="I52" i="13"/>
  <c r="H52" i="13"/>
  <c r="G52" i="13"/>
  <c r="F52" i="13"/>
  <c r="E52" i="13"/>
  <c r="D52" i="13"/>
  <c r="C52" i="13"/>
  <c r="B52" i="13"/>
  <c r="N50" i="13"/>
  <c r="M50" i="13"/>
  <c r="M51" i="13" s="1"/>
  <c r="L50" i="13"/>
  <c r="L51" i="13" s="1"/>
  <c r="K50" i="13"/>
  <c r="K51" i="13" s="1"/>
  <c r="J50" i="13"/>
  <c r="J51" i="13" s="1"/>
  <c r="I50" i="13"/>
  <c r="I51" i="13" s="1"/>
  <c r="H50" i="13"/>
  <c r="H51" i="13" s="1"/>
  <c r="G50" i="13"/>
  <c r="G51" i="13" s="1"/>
  <c r="F50" i="13"/>
  <c r="F51" i="13" s="1"/>
  <c r="E50" i="13"/>
  <c r="E51" i="13" s="1"/>
  <c r="D50" i="13"/>
  <c r="D51" i="13" s="1"/>
  <c r="C50" i="13"/>
  <c r="C51" i="13" s="1"/>
  <c r="B50" i="13"/>
  <c r="B51" i="13" s="1"/>
  <c r="N48" i="13"/>
  <c r="M48" i="13"/>
  <c r="M49" i="13" s="1"/>
  <c r="L48" i="13"/>
  <c r="L49" i="13" s="1"/>
  <c r="K48" i="13"/>
  <c r="K49" i="13" s="1"/>
  <c r="J48" i="13"/>
  <c r="J49" i="13" s="1"/>
  <c r="I48" i="13"/>
  <c r="I49" i="13" s="1"/>
  <c r="H48" i="13"/>
  <c r="H49" i="13" s="1"/>
  <c r="G48" i="13"/>
  <c r="G49" i="13" s="1"/>
  <c r="F48" i="13"/>
  <c r="F49" i="13" s="1"/>
  <c r="E48" i="13"/>
  <c r="E49" i="13" s="1"/>
  <c r="D48" i="13"/>
  <c r="D49" i="13" s="1"/>
  <c r="C48" i="13"/>
  <c r="C49" i="13" s="1"/>
  <c r="B48" i="13"/>
  <c r="B49" i="13" s="1"/>
  <c r="F36" i="13"/>
  <c r="M30" i="13"/>
  <c r="L30" i="13"/>
  <c r="K30" i="13"/>
  <c r="J30" i="13"/>
  <c r="I30" i="13"/>
  <c r="H30" i="13"/>
  <c r="G30" i="13"/>
  <c r="F30" i="13"/>
  <c r="E30" i="13"/>
  <c r="D30" i="13"/>
  <c r="C30" i="13"/>
  <c r="B30" i="13"/>
  <c r="M26" i="13"/>
  <c r="L26" i="13"/>
  <c r="K26" i="13"/>
  <c r="J26" i="13"/>
  <c r="I26" i="13"/>
  <c r="H26" i="13"/>
  <c r="G26" i="13"/>
  <c r="F26" i="13"/>
  <c r="E26" i="13"/>
  <c r="D26" i="13"/>
  <c r="C26" i="13"/>
  <c r="B26" i="13"/>
  <c r="M24" i="13"/>
  <c r="L24" i="13"/>
  <c r="K24" i="13"/>
  <c r="J24" i="13"/>
  <c r="F24" i="13"/>
  <c r="E24" i="13"/>
  <c r="D24" i="13"/>
  <c r="N18" i="13"/>
  <c r="M18" i="13"/>
  <c r="L18" i="13"/>
  <c r="K18" i="13"/>
  <c r="J18" i="13"/>
  <c r="I18" i="13"/>
  <c r="H18" i="13"/>
  <c r="G18" i="13"/>
  <c r="F18" i="13"/>
  <c r="E18" i="13"/>
  <c r="D18" i="13"/>
  <c r="C18" i="13"/>
  <c r="B18" i="13"/>
  <c r="B4" i="13"/>
  <c r="B10" i="13" s="1"/>
  <c r="M36" i="13"/>
  <c r="E36" i="13"/>
  <c r="N35" i="13"/>
  <c r="L36" i="13"/>
  <c r="K36" i="13"/>
  <c r="F117" i="7"/>
  <c r="D117" i="7"/>
  <c r="F116" i="7"/>
  <c r="D116" i="7"/>
  <c r="F115" i="7"/>
  <c r="D115" i="7"/>
  <c r="F114" i="7"/>
  <c r="D114" i="7"/>
  <c r="F112" i="7"/>
  <c r="D112" i="7"/>
  <c r="F111" i="7"/>
  <c r="D111" i="7"/>
  <c r="F110" i="7"/>
  <c r="D110" i="7"/>
  <c r="F109" i="7"/>
  <c r="D109" i="7"/>
  <c r="F107" i="7"/>
  <c r="D107" i="7"/>
  <c r="F106" i="7"/>
  <c r="D106" i="7"/>
  <c r="D105" i="1"/>
  <c r="F105" i="1"/>
  <c r="D106" i="1"/>
  <c r="F106" i="1"/>
  <c r="D108" i="1"/>
  <c r="F108" i="1"/>
  <c r="D109" i="1"/>
  <c r="F109" i="1"/>
  <c r="D110" i="1"/>
  <c r="F110" i="1"/>
  <c r="D111" i="1"/>
  <c r="F111" i="1"/>
  <c r="D114" i="1"/>
  <c r="F114" i="1"/>
  <c r="D115" i="1"/>
  <c r="F115" i="1"/>
  <c r="D116" i="1"/>
  <c r="F116" i="1"/>
  <c r="D117" i="1"/>
  <c r="F117" i="1"/>
  <c r="N36" i="13"/>
  <c r="L35" i="13"/>
  <c r="M35" i="13"/>
  <c r="E35" i="13"/>
  <c r="K35" i="13"/>
  <c r="F35" i="13"/>
  <c r="A117" i="7"/>
  <c r="A116" i="7"/>
  <c r="A115" i="7"/>
  <c r="A114" i="7"/>
  <c r="A112" i="7"/>
  <c r="A111" i="7"/>
  <c r="A110" i="7"/>
  <c r="A109" i="7"/>
  <c r="D2" i="10"/>
  <c r="E2" i="10" s="1"/>
  <c r="D4" i="10"/>
  <c r="E4" i="10" s="1"/>
  <c r="A115" i="1"/>
  <c r="A116" i="1"/>
  <c r="A117" i="1"/>
  <c r="A114" i="1"/>
  <c r="A111" i="1"/>
  <c r="A110" i="1"/>
  <c r="A109" i="1"/>
  <c r="A108" i="1"/>
  <c r="B55" i="12"/>
  <c r="B35" i="13"/>
  <c r="G35" i="13"/>
  <c r="D35" i="13"/>
  <c r="J35" i="13"/>
  <c r="C35" i="13"/>
  <c r="H35" i="13"/>
  <c r="I35" i="13"/>
  <c r="M55" i="1"/>
  <c r="N55" i="1"/>
  <c r="O55" i="1"/>
  <c r="P55" i="1"/>
  <c r="Q55" i="1"/>
  <c r="R55" i="1"/>
  <c r="S55" i="1"/>
  <c r="T55" i="1"/>
  <c r="U55" i="1"/>
  <c r="V55" i="1"/>
  <c r="W55" i="1"/>
  <c r="X55" i="1"/>
  <c r="Y55" i="1"/>
  <c r="Z55" i="1"/>
  <c r="AA55" i="1"/>
  <c r="AB55" i="1"/>
  <c r="AC55" i="1"/>
  <c r="K59" i="1"/>
  <c r="L59" i="1"/>
  <c r="M59" i="1"/>
  <c r="N59" i="1"/>
  <c r="O59" i="1"/>
  <c r="P59" i="1"/>
  <c r="Q59" i="1"/>
  <c r="R59" i="1"/>
  <c r="S59" i="1"/>
  <c r="T59" i="1"/>
  <c r="U59" i="1"/>
  <c r="V59" i="1"/>
  <c r="W59" i="1"/>
  <c r="X59" i="1"/>
  <c r="Y59" i="1"/>
  <c r="Z59" i="1"/>
  <c r="AA59" i="1"/>
  <c r="AB59" i="1"/>
  <c r="AC59" i="1"/>
  <c r="J59" i="1"/>
  <c r="L56" i="1"/>
  <c r="L55" i="1"/>
  <c r="C54" i="1"/>
  <c r="D54" i="1"/>
  <c r="E54" i="1"/>
  <c r="F54" i="1"/>
  <c r="G54" i="1"/>
  <c r="H54" i="1"/>
  <c r="I54" i="1"/>
  <c r="J54" i="1"/>
  <c r="K54" i="1"/>
  <c r="L54" i="1"/>
  <c r="M54" i="1"/>
  <c r="N54" i="1"/>
  <c r="O54" i="1"/>
  <c r="P54" i="1"/>
  <c r="Q54" i="1"/>
  <c r="R54" i="1"/>
  <c r="S54" i="1"/>
  <c r="T54" i="1"/>
  <c r="U54" i="1"/>
  <c r="V54" i="1"/>
  <c r="W54" i="1"/>
  <c r="X54" i="1"/>
  <c r="Y54" i="1"/>
  <c r="Z54" i="1"/>
  <c r="AA54" i="1"/>
  <c r="AB54" i="1"/>
  <c r="AC54" i="1"/>
  <c r="C56" i="1"/>
  <c r="D56" i="1"/>
  <c r="E56" i="1"/>
  <c r="F56" i="1"/>
  <c r="G56" i="1"/>
  <c r="H56" i="1"/>
  <c r="I56" i="1"/>
  <c r="J56" i="1"/>
  <c r="K56" i="1"/>
  <c r="M56" i="1"/>
  <c r="N56" i="1"/>
  <c r="O56" i="1"/>
  <c r="P56" i="1"/>
  <c r="Q56" i="1"/>
  <c r="R56" i="1"/>
  <c r="S56" i="1"/>
  <c r="T56" i="1"/>
  <c r="U56" i="1"/>
  <c r="V56" i="1"/>
  <c r="W56" i="1"/>
  <c r="X56" i="1"/>
  <c r="Y56" i="1"/>
  <c r="Z56" i="1"/>
  <c r="AA56" i="1"/>
  <c r="AB56" i="1"/>
  <c r="AC56" i="1"/>
  <c r="C57" i="1"/>
  <c r="D57" i="1"/>
  <c r="E57" i="1"/>
  <c r="F57" i="1"/>
  <c r="G57" i="1"/>
  <c r="H57" i="1"/>
  <c r="I57" i="1"/>
  <c r="J57" i="1"/>
  <c r="K57" i="1"/>
  <c r="L57" i="1"/>
  <c r="M57" i="1"/>
  <c r="N57" i="1"/>
  <c r="O57" i="1"/>
  <c r="P57" i="1"/>
  <c r="Q57" i="1"/>
  <c r="R57" i="1"/>
  <c r="S57" i="1"/>
  <c r="T57" i="1"/>
  <c r="U57" i="1"/>
  <c r="V57" i="1"/>
  <c r="W57" i="1"/>
  <c r="X57" i="1"/>
  <c r="Y57" i="1"/>
  <c r="Z57" i="1"/>
  <c r="AA57" i="1"/>
  <c r="AB57" i="1"/>
  <c r="AC57" i="1"/>
  <c r="C58" i="1"/>
  <c r="D58" i="1"/>
  <c r="E58" i="1"/>
  <c r="F58" i="1"/>
  <c r="G58" i="1"/>
  <c r="H58" i="1"/>
  <c r="I58" i="1"/>
  <c r="J58" i="1"/>
  <c r="K58" i="1"/>
  <c r="L58" i="1"/>
  <c r="M58" i="1"/>
  <c r="N58" i="1"/>
  <c r="O58" i="1"/>
  <c r="P58" i="1"/>
  <c r="Q58" i="1"/>
  <c r="R58" i="1"/>
  <c r="S58" i="1"/>
  <c r="T58" i="1"/>
  <c r="U58" i="1"/>
  <c r="V58" i="1"/>
  <c r="W58" i="1"/>
  <c r="X58" i="1"/>
  <c r="Y58" i="1"/>
  <c r="Z58" i="1"/>
  <c r="AA58" i="1"/>
  <c r="AB58" i="1"/>
  <c r="AC58" i="1"/>
  <c r="C60" i="1"/>
  <c r="D60" i="1"/>
  <c r="E60" i="1"/>
  <c r="F60" i="1"/>
  <c r="G60" i="1"/>
  <c r="H60" i="1"/>
  <c r="I60" i="1"/>
  <c r="J60" i="1"/>
  <c r="K60" i="1"/>
  <c r="L60" i="1"/>
  <c r="M60" i="1"/>
  <c r="N60" i="1"/>
  <c r="O60" i="1"/>
  <c r="P60" i="1"/>
  <c r="Q60" i="1"/>
  <c r="R60" i="1"/>
  <c r="S60" i="1"/>
  <c r="T60" i="1"/>
  <c r="U60" i="1"/>
  <c r="V60" i="1"/>
  <c r="W60" i="1"/>
  <c r="X60" i="1"/>
  <c r="Y60" i="1"/>
  <c r="Z60" i="1"/>
  <c r="AA60" i="1"/>
  <c r="AB60" i="1"/>
  <c r="AC60" i="1"/>
  <c r="C61" i="1"/>
  <c r="D61" i="1"/>
  <c r="E61" i="1"/>
  <c r="F61" i="1"/>
  <c r="G61" i="1"/>
  <c r="H61" i="1"/>
  <c r="I61" i="1"/>
  <c r="J61" i="1"/>
  <c r="K61" i="1"/>
  <c r="L61" i="1"/>
  <c r="M61" i="1"/>
  <c r="N61" i="1"/>
  <c r="O61" i="1"/>
  <c r="P61" i="1"/>
  <c r="Q61" i="1"/>
  <c r="R61" i="1"/>
  <c r="S61" i="1"/>
  <c r="T61" i="1"/>
  <c r="U61" i="1"/>
  <c r="V61" i="1"/>
  <c r="W61" i="1"/>
  <c r="X61" i="1"/>
  <c r="Y61" i="1"/>
  <c r="Z61" i="1"/>
  <c r="AA61" i="1"/>
  <c r="AB61" i="1"/>
  <c r="AC61" i="1"/>
  <c r="B61" i="1"/>
  <c r="B60" i="1"/>
  <c r="B58" i="1"/>
  <c r="B57" i="1"/>
  <c r="B56" i="1"/>
  <c r="B54" i="1"/>
  <c r="AC61" i="12"/>
  <c r="AB61" i="12"/>
  <c r="AA61" i="12"/>
  <c r="Z61" i="12"/>
  <c r="Y61" i="12"/>
  <c r="X61" i="12"/>
  <c r="W61" i="12"/>
  <c r="V61" i="12"/>
  <c r="U61" i="12"/>
  <c r="T61" i="12"/>
  <c r="S61" i="12"/>
  <c r="R61" i="12"/>
  <c r="Q61" i="12"/>
  <c r="P61" i="12"/>
  <c r="O61" i="12"/>
  <c r="N61" i="12"/>
  <c r="M61" i="12"/>
  <c r="L61" i="12"/>
  <c r="K61" i="12"/>
  <c r="J61" i="12"/>
  <c r="I61" i="12"/>
  <c r="H61" i="12"/>
  <c r="G61" i="12"/>
  <c r="F61" i="12"/>
  <c r="E61" i="12"/>
  <c r="D61" i="12"/>
  <c r="C61" i="12"/>
  <c r="AC60" i="12"/>
  <c r="AB60" i="12"/>
  <c r="AA60" i="12"/>
  <c r="Z60" i="12"/>
  <c r="Y60" i="12"/>
  <c r="X60" i="12"/>
  <c r="W60" i="12"/>
  <c r="V60" i="12"/>
  <c r="U60" i="12"/>
  <c r="T60" i="12"/>
  <c r="S60" i="12"/>
  <c r="R60" i="12"/>
  <c r="Q60" i="12"/>
  <c r="P60" i="12"/>
  <c r="O60" i="12"/>
  <c r="N60" i="12"/>
  <c r="M60" i="12"/>
  <c r="L60" i="12"/>
  <c r="K60" i="12"/>
  <c r="J60" i="12"/>
  <c r="I60" i="12"/>
  <c r="H60" i="12"/>
  <c r="G60" i="12"/>
  <c r="F60" i="12"/>
  <c r="E60" i="12"/>
  <c r="D60" i="12"/>
  <c r="C60" i="12"/>
  <c r="AC59" i="12"/>
  <c r="AB59" i="12"/>
  <c r="AA59" i="12"/>
  <c r="Z59" i="12"/>
  <c r="Y59" i="12"/>
  <c r="X59" i="12"/>
  <c r="W59" i="12"/>
  <c r="V59" i="12"/>
  <c r="U59" i="12"/>
  <c r="T59" i="12"/>
  <c r="S59" i="12"/>
  <c r="R59" i="12"/>
  <c r="Q59" i="12"/>
  <c r="P59" i="12"/>
  <c r="O59" i="12"/>
  <c r="N59" i="12"/>
  <c r="M59" i="12"/>
  <c r="L59" i="12"/>
  <c r="K59" i="12"/>
  <c r="J59" i="12"/>
  <c r="I59" i="12"/>
  <c r="H59" i="12"/>
  <c r="G59" i="12"/>
  <c r="F59" i="12"/>
  <c r="E59" i="12"/>
  <c r="D59" i="12"/>
  <c r="C59" i="12"/>
  <c r="AC58" i="12"/>
  <c r="AB58" i="12"/>
  <c r="AA58" i="12"/>
  <c r="Z58" i="12"/>
  <c r="Y58" i="12"/>
  <c r="X58" i="12"/>
  <c r="W58" i="12"/>
  <c r="V58" i="12"/>
  <c r="U58" i="12"/>
  <c r="T58" i="12"/>
  <c r="S58" i="12"/>
  <c r="R58" i="12"/>
  <c r="Q58" i="12"/>
  <c r="P58" i="12"/>
  <c r="O58" i="12"/>
  <c r="N58" i="12"/>
  <c r="M58" i="12"/>
  <c r="L58" i="12"/>
  <c r="K58" i="12"/>
  <c r="J58" i="12"/>
  <c r="I58" i="12"/>
  <c r="H58" i="12"/>
  <c r="G58" i="12"/>
  <c r="F58" i="12"/>
  <c r="E58" i="12"/>
  <c r="D58" i="12"/>
  <c r="C58" i="12"/>
  <c r="AC57" i="12"/>
  <c r="AB57" i="12"/>
  <c r="AA57" i="12"/>
  <c r="Z57" i="12"/>
  <c r="Y57" i="12"/>
  <c r="X57" i="12"/>
  <c r="W57" i="12"/>
  <c r="V57" i="12"/>
  <c r="U57" i="12"/>
  <c r="T57" i="12"/>
  <c r="S57" i="12"/>
  <c r="R57" i="12"/>
  <c r="Q57" i="12"/>
  <c r="P57" i="12"/>
  <c r="O57" i="12"/>
  <c r="N57" i="12"/>
  <c r="M57" i="12"/>
  <c r="L57" i="12"/>
  <c r="K57" i="12"/>
  <c r="J57" i="12"/>
  <c r="I57" i="12"/>
  <c r="H57" i="12"/>
  <c r="G57" i="12"/>
  <c r="F57" i="12"/>
  <c r="E57" i="12"/>
  <c r="D57" i="12"/>
  <c r="C57" i="12"/>
  <c r="AC56" i="12"/>
  <c r="AB56" i="12"/>
  <c r="AA56" i="12"/>
  <c r="Z56" i="12"/>
  <c r="Y56" i="12"/>
  <c r="X56" i="12"/>
  <c r="W56" i="12"/>
  <c r="V56" i="12"/>
  <c r="U56" i="12"/>
  <c r="T56" i="12"/>
  <c r="S56" i="12"/>
  <c r="R56" i="12"/>
  <c r="Q56" i="12"/>
  <c r="P56" i="12"/>
  <c r="O56" i="12"/>
  <c r="N56" i="12"/>
  <c r="M56" i="12"/>
  <c r="L56" i="12"/>
  <c r="K56" i="12"/>
  <c r="J56" i="12"/>
  <c r="I56" i="12"/>
  <c r="H56" i="12"/>
  <c r="G56" i="12"/>
  <c r="F56" i="12"/>
  <c r="E56" i="12"/>
  <c r="D56" i="12"/>
  <c r="C56" i="12"/>
  <c r="AC55" i="12"/>
  <c r="AB55" i="12"/>
  <c r="AA55" i="12"/>
  <c r="Z55" i="12"/>
  <c r="Y55" i="12"/>
  <c r="X55" i="12"/>
  <c r="W55" i="12"/>
  <c r="V55" i="12"/>
  <c r="U55" i="12"/>
  <c r="T55" i="12"/>
  <c r="S55" i="12"/>
  <c r="R55" i="12"/>
  <c r="Q55" i="12"/>
  <c r="P55" i="12"/>
  <c r="O55" i="12"/>
  <c r="N55" i="12"/>
  <c r="M55" i="12"/>
  <c r="L55" i="12"/>
  <c r="K55" i="12"/>
  <c r="J55" i="12"/>
  <c r="I55" i="12"/>
  <c r="H55" i="12"/>
  <c r="G55" i="12"/>
  <c r="F55" i="12"/>
  <c r="E55" i="12"/>
  <c r="D55" i="12"/>
  <c r="C55" i="12"/>
  <c r="AC54" i="12"/>
  <c r="AB54" i="12"/>
  <c r="AA54" i="12"/>
  <c r="Z54" i="12"/>
  <c r="Y54" i="12"/>
  <c r="X54" i="12"/>
  <c r="W54" i="12"/>
  <c r="V54" i="12"/>
  <c r="U54" i="12"/>
  <c r="T54" i="12"/>
  <c r="S54" i="12"/>
  <c r="R54" i="12"/>
  <c r="Q54" i="12"/>
  <c r="P54" i="12"/>
  <c r="O54" i="12"/>
  <c r="N54" i="12"/>
  <c r="M54" i="12"/>
  <c r="L54" i="12"/>
  <c r="K54" i="12"/>
  <c r="J54" i="12"/>
  <c r="I54" i="12"/>
  <c r="H54" i="12"/>
  <c r="G54" i="12"/>
  <c r="F54" i="12"/>
  <c r="E54" i="12"/>
  <c r="D54" i="12"/>
  <c r="C54" i="12"/>
  <c r="AC53" i="12"/>
  <c r="AB53" i="12"/>
  <c r="AA53" i="12"/>
  <c r="Z53" i="12"/>
  <c r="Y53" i="12"/>
  <c r="X53" i="12"/>
  <c r="W53" i="12"/>
  <c r="V53" i="12"/>
  <c r="U53" i="12"/>
  <c r="T53" i="12"/>
  <c r="S53" i="12"/>
  <c r="R53" i="12"/>
  <c r="Q53" i="12"/>
  <c r="P53" i="12"/>
  <c r="O53" i="12"/>
  <c r="N53" i="12"/>
  <c r="M53" i="12"/>
  <c r="L53" i="12"/>
  <c r="K53" i="12"/>
  <c r="J53" i="12"/>
  <c r="I53" i="12"/>
  <c r="H53" i="12"/>
  <c r="G53" i="12"/>
  <c r="F53" i="12"/>
  <c r="E53" i="12"/>
  <c r="D53" i="12"/>
  <c r="C53" i="12"/>
  <c r="AC52" i="12"/>
  <c r="AB52" i="12"/>
  <c r="AA52" i="12"/>
  <c r="Z52" i="12"/>
  <c r="Y52" i="12"/>
  <c r="X52" i="12"/>
  <c r="W52" i="12"/>
  <c r="V52" i="12"/>
  <c r="U52" i="12"/>
  <c r="T52" i="12"/>
  <c r="S52" i="12"/>
  <c r="R52" i="12"/>
  <c r="Q52" i="12"/>
  <c r="P52" i="12"/>
  <c r="O52" i="12"/>
  <c r="N52" i="12"/>
  <c r="M52" i="12"/>
  <c r="L52" i="12"/>
  <c r="K52" i="12"/>
  <c r="J52" i="12"/>
  <c r="I52" i="12"/>
  <c r="H52" i="12"/>
  <c r="G52" i="12"/>
  <c r="F52" i="12"/>
  <c r="E52" i="12"/>
  <c r="D52" i="12"/>
  <c r="C52" i="12"/>
  <c r="B61" i="12"/>
  <c r="B60" i="12"/>
  <c r="B59" i="12"/>
  <c r="B58" i="12"/>
  <c r="B57" i="12"/>
  <c r="B56" i="12"/>
  <c r="B54" i="12"/>
  <c r="B53" i="12"/>
  <c r="B52" i="12"/>
  <c r="D36" i="13"/>
  <c r="B36" i="13"/>
  <c r="I36" i="13"/>
  <c r="C36" i="13"/>
  <c r="J36" i="13"/>
  <c r="G36" i="13"/>
  <c r="H36" i="13"/>
  <c r="A62" i="1"/>
  <c r="A114" i="12"/>
  <c r="A113" i="12"/>
  <c r="A111" i="12"/>
  <c r="A110" i="12"/>
  <c r="A109" i="12"/>
  <c r="A61" i="12"/>
  <c r="A53" i="12"/>
  <c r="A54" i="12"/>
  <c r="A55" i="12"/>
  <c r="A56" i="12"/>
  <c r="A57" i="12"/>
  <c r="A58" i="12"/>
  <c r="A59" i="12"/>
  <c r="A60" i="12"/>
  <c r="A52" i="12"/>
  <c r="C30" i="7"/>
  <c r="D30" i="7"/>
  <c r="E30" i="7"/>
  <c r="F30" i="7"/>
  <c r="G30" i="7"/>
  <c r="H30" i="7"/>
  <c r="I30" i="7"/>
  <c r="J30" i="7"/>
  <c r="K30" i="7"/>
  <c r="L30" i="7"/>
  <c r="M30" i="7"/>
  <c r="B30" i="7"/>
  <c r="E30" i="1"/>
  <c r="J30" i="1"/>
  <c r="K30" i="1"/>
  <c r="L30" i="1"/>
  <c r="M30" i="1"/>
  <c r="P30" i="1"/>
  <c r="Q30" i="1"/>
  <c r="R30" i="1"/>
  <c r="S30" i="1"/>
  <c r="T30" i="1"/>
  <c r="U30" i="1"/>
  <c r="V30" i="1"/>
  <c r="W30" i="1"/>
  <c r="X30" i="1"/>
  <c r="P18" i="1"/>
  <c r="Q18" i="1"/>
  <c r="R18" i="1"/>
  <c r="S18" i="1"/>
  <c r="T18" i="1"/>
  <c r="U18" i="1"/>
  <c r="V18" i="1"/>
  <c r="W18" i="1"/>
  <c r="X18" i="1"/>
  <c r="Y18" i="1"/>
  <c r="Z18" i="1"/>
  <c r="B24" i="1"/>
  <c r="C24" i="1"/>
  <c r="D24" i="1"/>
  <c r="E24" i="1"/>
  <c r="F24" i="1"/>
  <c r="G24" i="1"/>
  <c r="H24" i="1"/>
  <c r="I24" i="1"/>
  <c r="K24" i="1"/>
  <c r="N24" i="1"/>
  <c r="O24" i="1"/>
  <c r="Q24" i="1"/>
  <c r="X24" i="1"/>
  <c r="Y24" i="1"/>
  <c r="Z24" i="1"/>
  <c r="AA24" i="1"/>
  <c r="AB24" i="1"/>
  <c r="AC24" i="1"/>
  <c r="E26" i="1"/>
  <c r="J26" i="1"/>
  <c r="K26" i="1"/>
  <c r="L26" i="1"/>
  <c r="M26" i="1"/>
  <c r="P26" i="1"/>
  <c r="Q26" i="1"/>
  <c r="R26" i="1"/>
  <c r="S26" i="1"/>
  <c r="T26" i="1"/>
  <c r="U26" i="1"/>
  <c r="V26" i="1"/>
  <c r="W26" i="1"/>
  <c r="X26" i="1"/>
  <c r="E30" i="12"/>
  <c r="J30" i="12"/>
  <c r="K30" i="12"/>
  <c r="L30" i="12"/>
  <c r="M30" i="12"/>
  <c r="P30" i="12"/>
  <c r="Q30" i="12"/>
  <c r="R30" i="12"/>
  <c r="S30" i="12"/>
  <c r="T30" i="12"/>
  <c r="U30" i="12"/>
  <c r="V30" i="12"/>
  <c r="W30" i="12"/>
  <c r="X30" i="12"/>
  <c r="A2" i="10"/>
  <c r="B4" i="12"/>
  <c r="B9" i="12" s="1"/>
  <c r="M18" i="12"/>
  <c r="N18" i="12"/>
  <c r="O18" i="12"/>
  <c r="P18" i="12"/>
  <c r="Q18" i="12"/>
  <c r="R18" i="12"/>
  <c r="S18" i="12"/>
  <c r="T18" i="12"/>
  <c r="U18" i="12"/>
  <c r="V18" i="12"/>
  <c r="W18" i="12"/>
  <c r="X18" i="12"/>
  <c r="Y18" i="12"/>
  <c r="Z18" i="12"/>
  <c r="B24" i="12"/>
  <c r="C24" i="12"/>
  <c r="D24" i="12"/>
  <c r="E24" i="12"/>
  <c r="F24" i="12"/>
  <c r="G24" i="12"/>
  <c r="H24" i="12"/>
  <c r="I24" i="12"/>
  <c r="K24" i="12"/>
  <c r="N24" i="12"/>
  <c r="O24" i="12"/>
  <c r="Q24" i="12"/>
  <c r="X24" i="12"/>
  <c r="Y24" i="12"/>
  <c r="Z24" i="12"/>
  <c r="AA24" i="12"/>
  <c r="AB24" i="12"/>
  <c r="AC24" i="12"/>
  <c r="E26" i="12"/>
  <c r="J26" i="12"/>
  <c r="K26" i="12"/>
  <c r="L26" i="12"/>
  <c r="M26" i="12"/>
  <c r="P26" i="12"/>
  <c r="Q26" i="12"/>
  <c r="R26" i="12"/>
  <c r="S26" i="12"/>
  <c r="T26" i="12"/>
  <c r="U26" i="12"/>
  <c r="V26" i="12"/>
  <c r="W26" i="12"/>
  <c r="X26" i="12"/>
  <c r="R36" i="12"/>
  <c r="S36" i="12"/>
  <c r="U36" i="12"/>
  <c r="V36" i="12"/>
  <c r="B35" i="12"/>
  <c r="C35" i="12"/>
  <c r="D35" i="12"/>
  <c r="E35" i="12"/>
  <c r="F35" i="12"/>
  <c r="G35" i="12"/>
  <c r="Q35" i="12"/>
  <c r="W35" i="12"/>
  <c r="AC35" i="12"/>
  <c r="B48" i="12"/>
  <c r="C48" i="12"/>
  <c r="D48" i="12"/>
  <c r="E48" i="12"/>
  <c r="F48" i="12"/>
  <c r="G48" i="12"/>
  <c r="H48" i="12"/>
  <c r="I48" i="12"/>
  <c r="J48" i="12"/>
  <c r="K48" i="12"/>
  <c r="L48" i="12"/>
  <c r="M48" i="12"/>
  <c r="N48" i="12"/>
  <c r="O48" i="12"/>
  <c r="P48" i="12"/>
  <c r="Q48" i="12"/>
  <c r="R48" i="12"/>
  <c r="S48" i="12"/>
  <c r="T48" i="12"/>
  <c r="U48" i="12"/>
  <c r="V48" i="12"/>
  <c r="W48" i="12"/>
  <c r="X48" i="12"/>
  <c r="Y48" i="12"/>
  <c r="Z48" i="12"/>
  <c r="AA48" i="12"/>
  <c r="AB48" i="12"/>
  <c r="B49" i="12"/>
  <c r="C49" i="12"/>
  <c r="D49" i="12"/>
  <c r="E49" i="12"/>
  <c r="F49" i="12"/>
  <c r="G49" i="12"/>
  <c r="H49" i="12"/>
  <c r="I49" i="12"/>
  <c r="J49" i="12"/>
  <c r="K49" i="12"/>
  <c r="L49" i="12"/>
  <c r="M49" i="12"/>
  <c r="N49" i="12"/>
  <c r="O49" i="12"/>
  <c r="P49" i="12"/>
  <c r="Q49" i="12"/>
  <c r="AA49" i="12"/>
  <c r="AB49" i="12"/>
  <c r="B50" i="12"/>
  <c r="C50" i="12"/>
  <c r="D50" i="12"/>
  <c r="E50" i="12"/>
  <c r="F50" i="12"/>
  <c r="G50" i="12"/>
  <c r="H50" i="12"/>
  <c r="I50" i="12"/>
  <c r="J50" i="12"/>
  <c r="K50" i="12"/>
  <c r="L50" i="12"/>
  <c r="M50" i="12"/>
  <c r="N50" i="12"/>
  <c r="O50" i="12"/>
  <c r="P50" i="12"/>
  <c r="Q50" i="12"/>
  <c r="R50" i="12"/>
  <c r="R51" i="12" s="1"/>
  <c r="S50" i="12"/>
  <c r="S51" i="12" s="1"/>
  <c r="T50" i="12"/>
  <c r="T51" i="12" s="1"/>
  <c r="U50" i="12"/>
  <c r="U51" i="12" s="1"/>
  <c r="V50" i="12"/>
  <c r="V51" i="12" s="1"/>
  <c r="W50" i="12"/>
  <c r="W51" i="12" s="1"/>
  <c r="X50" i="12"/>
  <c r="X51" i="12" s="1"/>
  <c r="Y50" i="12"/>
  <c r="Y51" i="12" s="1"/>
  <c r="Z50" i="12"/>
  <c r="Z51" i="12" s="1"/>
  <c r="AA50" i="12"/>
  <c r="AB50" i="12"/>
  <c r="B51" i="12"/>
  <c r="C51" i="12"/>
  <c r="D51" i="12"/>
  <c r="E51" i="12"/>
  <c r="F51" i="12"/>
  <c r="G51" i="12"/>
  <c r="H51" i="12"/>
  <c r="I51" i="12"/>
  <c r="J51" i="12"/>
  <c r="K51" i="12"/>
  <c r="L51" i="12"/>
  <c r="M51" i="12"/>
  <c r="N51" i="12"/>
  <c r="O51" i="12"/>
  <c r="P51" i="12"/>
  <c r="Q51" i="12"/>
  <c r="AA51" i="12"/>
  <c r="AB51" i="12"/>
  <c r="R76" i="12"/>
  <c r="S76" i="12"/>
  <c r="T76" i="12"/>
  <c r="U76" i="12"/>
  <c r="V76" i="12"/>
  <c r="W76" i="12"/>
  <c r="R77" i="12"/>
  <c r="S77" i="12"/>
  <c r="T77" i="12"/>
  <c r="U77" i="12"/>
  <c r="V77" i="12"/>
  <c r="W77" i="12"/>
  <c r="B79" i="12" a="1"/>
  <c r="B79" i="12" s="1"/>
  <c r="AC36" i="12"/>
  <c r="O36" i="12"/>
  <c r="K36" i="12"/>
  <c r="M36" i="12"/>
  <c r="E36" i="12"/>
  <c r="AA36" i="12"/>
  <c r="Q36" i="12"/>
  <c r="P36" i="12"/>
  <c r="U35" i="12"/>
  <c r="S35" i="12"/>
  <c r="AB36" i="12"/>
  <c r="V35" i="12"/>
  <c r="T35" i="12"/>
  <c r="R35" i="12"/>
  <c r="D18" i="7"/>
  <c r="E18" i="7"/>
  <c r="F18" i="7"/>
  <c r="G18" i="7"/>
  <c r="H18" i="7"/>
  <c r="I18" i="7"/>
  <c r="J18" i="7"/>
  <c r="K18" i="7"/>
  <c r="L18" i="7"/>
  <c r="M18" i="7"/>
  <c r="N18" i="7"/>
  <c r="C18" i="7"/>
  <c r="B18" i="7"/>
  <c r="L36" i="12"/>
  <c r="F36" i="12"/>
  <c r="N36" i="12"/>
  <c r="B36" i="12"/>
  <c r="N35" i="12"/>
  <c r="P35" i="12"/>
  <c r="X35" i="12"/>
  <c r="Z35" i="12"/>
  <c r="M35" i="12"/>
  <c r="O35" i="12"/>
  <c r="Y35" i="12"/>
  <c r="N54" i="7"/>
  <c r="N56" i="7"/>
  <c r="N57" i="7"/>
  <c r="N58" i="7"/>
  <c r="N59" i="7"/>
  <c r="N60" i="7"/>
  <c r="N61" i="7"/>
  <c r="N62" i="7"/>
  <c r="N63" i="7"/>
  <c r="N52" i="7"/>
  <c r="N50" i="7"/>
  <c r="N48" i="7"/>
  <c r="N44" i="7"/>
  <c r="N43" i="7"/>
  <c r="N42" i="7"/>
  <c r="N41" i="7"/>
  <c r="N34" i="7"/>
  <c r="N33" i="7"/>
  <c r="N36" i="7" s="1"/>
  <c r="M26" i="7"/>
  <c r="L26" i="7"/>
  <c r="K26" i="7"/>
  <c r="J26" i="7"/>
  <c r="E26" i="7"/>
  <c r="M24" i="7"/>
  <c r="L24" i="7"/>
  <c r="K24" i="7"/>
  <c r="J24" i="7"/>
  <c r="F24" i="7"/>
  <c r="E24" i="7"/>
  <c r="D24" i="7"/>
  <c r="AC50" i="1"/>
  <c r="B52" i="1"/>
  <c r="AA35" i="12"/>
  <c r="AB35" i="12"/>
  <c r="I35" i="12"/>
  <c r="J35" i="12"/>
  <c r="K35" i="12"/>
  <c r="L18" i="12"/>
  <c r="L35" i="12"/>
  <c r="H35" i="12"/>
  <c r="N35" i="7"/>
  <c r="N47" i="7" s="1"/>
  <c r="A4" i="10"/>
  <c r="B60" i="7"/>
  <c r="C54" i="7"/>
  <c r="C55" i="7"/>
  <c r="D54" i="7"/>
  <c r="D55" i="7" s="1"/>
  <c r="E54" i="7"/>
  <c r="E55" i="7" s="1"/>
  <c r="F54" i="7"/>
  <c r="F55" i="7"/>
  <c r="G54" i="7"/>
  <c r="G55" i="7"/>
  <c r="H54" i="7"/>
  <c r="H55" i="7" s="1"/>
  <c r="I54" i="7"/>
  <c r="I55" i="7" s="1"/>
  <c r="J54" i="7"/>
  <c r="J55" i="7"/>
  <c r="K54" i="7"/>
  <c r="K55" i="7"/>
  <c r="L54" i="7"/>
  <c r="L55" i="7" s="1"/>
  <c r="M54" i="7"/>
  <c r="B75" i="7" a="1"/>
  <c r="B75" i="7" s="1"/>
  <c r="M48" i="7"/>
  <c r="M50" i="7"/>
  <c r="L48" i="7"/>
  <c r="L50" i="7" s="1"/>
  <c r="K48" i="7"/>
  <c r="K50" i="7" s="1"/>
  <c r="J48" i="7"/>
  <c r="J50" i="7"/>
  <c r="F48" i="7"/>
  <c r="F50" i="7"/>
  <c r="E48" i="7"/>
  <c r="E50" i="7" s="1"/>
  <c r="D48" i="7"/>
  <c r="M47" i="7"/>
  <c r="M49" i="7" s="1"/>
  <c r="L47" i="7"/>
  <c r="L49" i="7" s="1"/>
  <c r="K47" i="7"/>
  <c r="K49" i="7"/>
  <c r="J47" i="7"/>
  <c r="J49" i="7"/>
  <c r="F47" i="7"/>
  <c r="F49" i="7" s="1"/>
  <c r="E47" i="7"/>
  <c r="E49" i="7" s="1"/>
  <c r="D47" i="7"/>
  <c r="D49" i="7"/>
  <c r="M37" i="7"/>
  <c r="L37" i="7"/>
  <c r="K37" i="7"/>
  <c r="J37" i="7"/>
  <c r="I37" i="7"/>
  <c r="I47" i="7" s="1"/>
  <c r="I49" i="7" s="1"/>
  <c r="H37" i="7"/>
  <c r="H47" i="7" s="1"/>
  <c r="H49" i="7" s="1"/>
  <c r="G37" i="7"/>
  <c r="G47" i="7" s="1"/>
  <c r="G49" i="7" s="1"/>
  <c r="F37" i="7"/>
  <c r="E37" i="7"/>
  <c r="D37" i="7"/>
  <c r="C37" i="7"/>
  <c r="C47" i="7"/>
  <c r="C49" i="7" s="1"/>
  <c r="B37" i="7"/>
  <c r="B47" i="7"/>
  <c r="B49" i="7" s="1"/>
  <c r="B4" i="7"/>
  <c r="B10" i="7"/>
  <c r="C24" i="7" s="1"/>
  <c r="M161" i="7"/>
  <c r="L161" i="7"/>
  <c r="K161" i="7"/>
  <c r="J161" i="7"/>
  <c r="I161" i="7"/>
  <c r="H161" i="7"/>
  <c r="G161" i="7"/>
  <c r="F161" i="7"/>
  <c r="E161" i="7"/>
  <c r="D161" i="7"/>
  <c r="C161" i="7"/>
  <c r="B161" i="7"/>
  <c r="M63" i="7"/>
  <c r="L63" i="7"/>
  <c r="K63" i="7"/>
  <c r="J63" i="7"/>
  <c r="I63" i="7"/>
  <c r="H63" i="7"/>
  <c r="G63" i="7"/>
  <c r="F63" i="7"/>
  <c r="E63" i="7"/>
  <c r="D63" i="7"/>
  <c r="C63" i="7"/>
  <c r="B63" i="7"/>
  <c r="M62" i="7"/>
  <c r="L62" i="7"/>
  <c r="K62" i="7"/>
  <c r="J62" i="7"/>
  <c r="I62" i="7"/>
  <c r="H62" i="7"/>
  <c r="G62" i="7"/>
  <c r="F62" i="7"/>
  <c r="E62" i="7"/>
  <c r="D62" i="7"/>
  <c r="C62" i="7"/>
  <c r="B62" i="7"/>
  <c r="M61" i="7"/>
  <c r="L61" i="7"/>
  <c r="K61" i="7"/>
  <c r="J61" i="7"/>
  <c r="I61" i="7"/>
  <c r="H61" i="7"/>
  <c r="G61" i="7"/>
  <c r="F61" i="7"/>
  <c r="E61" i="7"/>
  <c r="D61" i="7"/>
  <c r="C61" i="7"/>
  <c r="B61" i="7"/>
  <c r="M60" i="7"/>
  <c r="L60" i="7"/>
  <c r="K60" i="7"/>
  <c r="J60" i="7"/>
  <c r="I60" i="7"/>
  <c r="H60" i="7"/>
  <c r="G60" i="7"/>
  <c r="F60" i="7"/>
  <c r="E60" i="7"/>
  <c r="D60" i="7"/>
  <c r="C60" i="7"/>
  <c r="M59" i="7"/>
  <c r="L59" i="7"/>
  <c r="K59" i="7"/>
  <c r="J59" i="7"/>
  <c r="I59" i="7"/>
  <c r="H59" i="7"/>
  <c r="G59" i="7"/>
  <c r="F59" i="7"/>
  <c r="E59" i="7"/>
  <c r="D59" i="7"/>
  <c r="C59" i="7"/>
  <c r="B59" i="7"/>
  <c r="M58" i="7"/>
  <c r="L58" i="7"/>
  <c r="K58" i="7"/>
  <c r="J58" i="7"/>
  <c r="I58" i="7"/>
  <c r="H58" i="7"/>
  <c r="G58" i="7"/>
  <c r="F58" i="7"/>
  <c r="E58" i="7"/>
  <c r="D58" i="7"/>
  <c r="C58" i="7"/>
  <c r="B58" i="7"/>
  <c r="M57" i="7"/>
  <c r="L57" i="7"/>
  <c r="K57" i="7"/>
  <c r="J57" i="7"/>
  <c r="I57" i="7"/>
  <c r="H57" i="7"/>
  <c r="G57" i="7"/>
  <c r="F57" i="7"/>
  <c r="E57" i="7"/>
  <c r="D57" i="7"/>
  <c r="C57" i="7"/>
  <c r="B57" i="7"/>
  <c r="M56" i="7"/>
  <c r="L56" i="7"/>
  <c r="K56" i="7"/>
  <c r="J56" i="7"/>
  <c r="I56" i="7"/>
  <c r="H56" i="7"/>
  <c r="G56" i="7"/>
  <c r="F56" i="7"/>
  <c r="E56" i="7"/>
  <c r="D56" i="7"/>
  <c r="C56" i="7"/>
  <c r="B56" i="7"/>
  <c r="B54" i="7"/>
  <c r="B55" i="7" s="1"/>
  <c r="M52" i="7"/>
  <c r="L52" i="7"/>
  <c r="L53" i="7" s="1"/>
  <c r="K52" i="7"/>
  <c r="K53" i="7" s="1"/>
  <c r="J52" i="7"/>
  <c r="J53" i="7"/>
  <c r="I52" i="7"/>
  <c r="I53" i="7"/>
  <c r="H52" i="7"/>
  <c r="H53" i="7" s="1"/>
  <c r="G52" i="7"/>
  <c r="G53" i="7" s="1"/>
  <c r="F52" i="7"/>
  <c r="F53" i="7"/>
  <c r="E52" i="7"/>
  <c r="E53" i="7"/>
  <c r="D52" i="7"/>
  <c r="D53" i="7" s="1"/>
  <c r="C52" i="7"/>
  <c r="C53" i="7" s="1"/>
  <c r="B52" i="7"/>
  <c r="B53" i="7"/>
  <c r="L36" i="7"/>
  <c r="L39" i="7"/>
  <c r="F36" i="7"/>
  <c r="F39" i="7" s="1"/>
  <c r="B79" i="1" a="1"/>
  <c r="B79" i="1" s="1"/>
  <c r="W77" i="1"/>
  <c r="V77" i="1"/>
  <c r="U77" i="1"/>
  <c r="T77" i="1"/>
  <c r="S77" i="1"/>
  <c r="R77" i="1"/>
  <c r="W76" i="1"/>
  <c r="V76" i="1"/>
  <c r="U76" i="1"/>
  <c r="T76" i="1"/>
  <c r="S76" i="1"/>
  <c r="R76" i="1"/>
  <c r="AB50" i="1"/>
  <c r="AA50" i="1"/>
  <c r="Z50" i="1"/>
  <c r="Y50" i="1"/>
  <c r="X50" i="1"/>
  <c r="W50" i="1"/>
  <c r="V50" i="1"/>
  <c r="U50" i="1"/>
  <c r="T50" i="1"/>
  <c r="S50" i="1"/>
  <c r="R50" i="1"/>
  <c r="Q50" i="1"/>
  <c r="P50" i="1"/>
  <c r="O50" i="1"/>
  <c r="N50" i="1"/>
  <c r="M50" i="1"/>
  <c r="L50" i="1"/>
  <c r="K50" i="1"/>
  <c r="J50" i="1"/>
  <c r="I50" i="1"/>
  <c r="H50" i="1"/>
  <c r="G50" i="1"/>
  <c r="F50" i="1"/>
  <c r="E50" i="1"/>
  <c r="D50" i="1"/>
  <c r="C50" i="1"/>
  <c r="B50" i="1"/>
  <c r="W35" i="1"/>
  <c r="Q35" i="1"/>
  <c r="B4" i="1"/>
  <c r="B7" i="1" s="1"/>
  <c r="B8" i="1" s="1"/>
  <c r="I74" i="7"/>
  <c r="G74" i="7"/>
  <c r="C74" i="7"/>
  <c r="H74" i="7"/>
  <c r="B74" i="7"/>
  <c r="E36" i="7"/>
  <c r="E39" i="7" s="1"/>
  <c r="K36" i="7"/>
  <c r="K39" i="7"/>
  <c r="M36" i="7"/>
  <c r="M39" i="7"/>
  <c r="O36" i="1"/>
  <c r="H73" i="7"/>
  <c r="H34" i="7"/>
  <c r="B73" i="7"/>
  <c r="B34" i="7" s="1"/>
  <c r="I73" i="7"/>
  <c r="I34" i="7" s="1"/>
  <c r="G73" i="7"/>
  <c r="G34" i="7"/>
  <c r="C73" i="7"/>
  <c r="C34" i="7"/>
  <c r="F36" i="1"/>
  <c r="B45" i="1"/>
  <c r="D50" i="7"/>
  <c r="W36" i="1"/>
  <c r="R35" i="1"/>
  <c r="G36" i="1"/>
  <c r="I36" i="1"/>
  <c r="Y36" i="1"/>
  <c r="T35" i="1"/>
  <c r="AC35" i="1"/>
  <c r="AC45" i="1"/>
  <c r="E36" i="1"/>
  <c r="P36" i="1"/>
  <c r="T36" i="1"/>
  <c r="X36" i="1"/>
  <c r="H36" i="1"/>
  <c r="Q36" i="1"/>
  <c r="U36" i="1"/>
  <c r="C35" i="1"/>
  <c r="C45" i="1"/>
  <c r="B36" i="1"/>
  <c r="D36" i="1"/>
  <c r="N36" i="1"/>
  <c r="R36" i="1"/>
  <c r="V36" i="1"/>
  <c r="B26" i="7"/>
  <c r="B35" i="1"/>
  <c r="M18" i="1"/>
  <c r="O18" i="1"/>
  <c r="L18" i="1"/>
  <c r="V35" i="1"/>
  <c r="F45" i="1"/>
  <c r="C36" i="1"/>
  <c r="S35" i="1"/>
  <c r="G26" i="7"/>
  <c r="I26" i="7"/>
  <c r="D26" i="7"/>
  <c r="S36" i="1"/>
  <c r="U35" i="1"/>
  <c r="H45" i="1"/>
  <c r="F26" i="7"/>
  <c r="H26" i="7"/>
  <c r="AB35" i="1"/>
  <c r="C26" i="7"/>
  <c r="E45" i="1"/>
  <c r="I45" i="1"/>
  <c r="M35" i="1"/>
  <c r="G45" i="1"/>
  <c r="Y35" i="1"/>
  <c r="D35" i="1"/>
  <c r="J45" i="1"/>
  <c r="L35" i="1"/>
  <c r="N18" i="1"/>
  <c r="H35" i="1"/>
  <c r="E35" i="1"/>
  <c r="O35" i="1"/>
  <c r="Z35" i="1"/>
  <c r="AA35" i="1"/>
  <c r="P35" i="1"/>
  <c r="X35" i="1"/>
  <c r="F35" i="1"/>
  <c r="G35" i="1"/>
  <c r="I35" i="1"/>
  <c r="D45" i="1"/>
  <c r="J35" i="1"/>
  <c r="N35" i="1"/>
  <c r="K35" i="1"/>
  <c r="G24" i="7"/>
  <c r="N24" i="7"/>
  <c r="I24" i="7"/>
  <c r="N38" i="7"/>
  <c r="N37" i="7" s="1"/>
  <c r="B7" i="7"/>
  <c r="B8" i="7"/>
  <c r="N21" i="7" s="1"/>
  <c r="B9" i="7"/>
  <c r="B23" i="7" s="1"/>
  <c r="B11" i="7"/>
  <c r="N30" i="7"/>
  <c r="B21" i="7"/>
  <c r="L21" i="7"/>
  <c r="F21" i="7"/>
  <c r="F25" i="7" s="1"/>
  <c r="C21" i="7"/>
  <c r="C22" i="7" s="1"/>
  <c r="K23" i="7"/>
  <c r="C23" i="7"/>
  <c r="G23" i="7"/>
  <c r="J23" i="7"/>
  <c r="I23" i="7"/>
  <c r="M23" i="7"/>
  <c r="N23" i="7"/>
  <c r="F23" i="7"/>
  <c r="F22" i="7"/>
  <c r="N25" i="7" l="1"/>
  <c r="N22" i="7"/>
  <c r="N26" i="7" s="1"/>
  <c r="L25" i="7"/>
  <c r="K74" i="7"/>
  <c r="H70" i="7"/>
  <c r="K70" i="7"/>
  <c r="D70" i="7"/>
  <c r="L70" i="7"/>
  <c r="M74" i="7"/>
  <c r="J74" i="7"/>
  <c r="M70" i="7"/>
  <c r="F74" i="7"/>
  <c r="B76" i="7"/>
  <c r="B70" i="7"/>
  <c r="E70" i="7"/>
  <c r="G70" i="7"/>
  <c r="L74" i="7"/>
  <c r="I70" i="7"/>
  <c r="F70" i="7"/>
  <c r="J70" i="7"/>
  <c r="C70" i="7"/>
  <c r="D74" i="7"/>
  <c r="E74" i="7"/>
  <c r="N45" i="7"/>
  <c r="N49" i="7" s="1"/>
  <c r="N39" i="7"/>
  <c r="F27" i="7"/>
  <c r="B22" i="7"/>
  <c r="K21" i="7"/>
  <c r="E44" i="1"/>
  <c r="E40" i="1"/>
  <c r="E42" i="1"/>
  <c r="E43" i="1"/>
  <c r="E39" i="1"/>
  <c r="E41" i="1"/>
  <c r="E47" i="1"/>
  <c r="E46" i="1"/>
  <c r="E34" i="1"/>
  <c r="E37" i="1" s="1"/>
  <c r="E48" i="1"/>
  <c r="F40" i="12"/>
  <c r="F42" i="12"/>
  <c r="F44" i="12"/>
  <c r="F46" i="12"/>
  <c r="F45" i="12"/>
  <c r="F41" i="12"/>
  <c r="F43" i="12"/>
  <c r="F39" i="12"/>
  <c r="E46" i="12"/>
  <c r="E45" i="12"/>
  <c r="E41" i="12"/>
  <c r="E43" i="12"/>
  <c r="E39" i="12"/>
  <c r="E44" i="12"/>
  <c r="E42" i="12"/>
  <c r="E40" i="12"/>
  <c r="R45" i="12"/>
  <c r="R41" i="12"/>
  <c r="R43" i="12"/>
  <c r="R46" i="12"/>
  <c r="R39" i="12"/>
  <c r="R40" i="12"/>
  <c r="R42" i="12"/>
  <c r="R44" i="12"/>
  <c r="I39" i="13"/>
  <c r="I46" i="13"/>
  <c r="I42" i="13"/>
  <c r="I45" i="13"/>
  <c r="I40" i="13"/>
  <c r="I43" i="13"/>
  <c r="I41" i="13"/>
  <c r="I44" i="13"/>
  <c r="K45" i="13"/>
  <c r="K40" i="13"/>
  <c r="K43" i="13"/>
  <c r="K46" i="13"/>
  <c r="K42" i="13"/>
  <c r="K41" i="13"/>
  <c r="K44" i="13"/>
  <c r="K39" i="13"/>
  <c r="AB45" i="12"/>
  <c r="AB41" i="12"/>
  <c r="AB43" i="12"/>
  <c r="AB46" i="12"/>
  <c r="AB39" i="12"/>
  <c r="AB40" i="12"/>
  <c r="AB42" i="12"/>
  <c r="AB44" i="12"/>
  <c r="B40" i="1"/>
  <c r="B42" i="1"/>
  <c r="B39" i="1"/>
  <c r="B44" i="1"/>
  <c r="B41" i="1"/>
  <c r="B43" i="1"/>
  <c r="B47" i="1"/>
  <c r="B46" i="1"/>
  <c r="B34" i="1"/>
  <c r="B37" i="1" s="1"/>
  <c r="B48" i="1"/>
  <c r="O43" i="1"/>
  <c r="O39" i="1"/>
  <c r="O41" i="1"/>
  <c r="O42" i="1"/>
  <c r="O40" i="1"/>
  <c r="O44" i="1"/>
  <c r="O47" i="1"/>
  <c r="O34" i="1"/>
  <c r="O37" i="1" s="1"/>
  <c r="O48" i="1"/>
  <c r="O46" i="1"/>
  <c r="L22" i="7"/>
  <c r="M21" i="7"/>
  <c r="L23" i="7"/>
  <c r="E21" i="7"/>
  <c r="C33" i="7" s="1"/>
  <c r="G21" i="7"/>
  <c r="W43" i="1"/>
  <c r="W39" i="1"/>
  <c r="W40" i="1"/>
  <c r="W42" i="1"/>
  <c r="W41" i="1"/>
  <c r="W44" i="1"/>
  <c r="W47" i="1"/>
  <c r="W34" i="1"/>
  <c r="W37" i="1" s="1"/>
  <c r="W48" i="1"/>
  <c r="W46" i="1"/>
  <c r="L45" i="12"/>
  <c r="L41" i="12"/>
  <c r="L43" i="12"/>
  <c r="L46" i="12"/>
  <c r="L39" i="12"/>
  <c r="L40" i="12"/>
  <c r="L42" i="12"/>
  <c r="L44" i="12"/>
  <c r="M39" i="12"/>
  <c r="M45" i="12"/>
  <c r="M41" i="12"/>
  <c r="M43" i="12"/>
  <c r="M46" i="12"/>
  <c r="M40" i="12"/>
  <c r="M44" i="12"/>
  <c r="M42" i="12"/>
  <c r="B42" i="13"/>
  <c r="B45" i="13"/>
  <c r="B41" i="13"/>
  <c r="B40" i="13"/>
  <c r="B43" i="13"/>
  <c r="B46" i="13"/>
  <c r="B44" i="13"/>
  <c r="B39" i="13"/>
  <c r="L40" i="13"/>
  <c r="L45" i="13"/>
  <c r="L43" i="13"/>
  <c r="L46" i="13"/>
  <c r="L41" i="13"/>
  <c r="L44" i="13"/>
  <c r="L39" i="13"/>
  <c r="L42" i="13"/>
  <c r="I39" i="12"/>
  <c r="I44" i="12"/>
  <c r="I40" i="12"/>
  <c r="I42" i="12"/>
  <c r="I46" i="12"/>
  <c r="I41" i="12"/>
  <c r="I45" i="12"/>
  <c r="I43" i="12"/>
  <c r="F46" i="13"/>
  <c r="F41" i="13"/>
  <c r="F45" i="13"/>
  <c r="F43" i="13"/>
  <c r="F44" i="13"/>
  <c r="F39" i="13"/>
  <c r="F42" i="13"/>
  <c r="F40" i="13"/>
  <c r="X39" i="12"/>
  <c r="X40" i="12"/>
  <c r="X42" i="12"/>
  <c r="X44" i="12"/>
  <c r="X45" i="12"/>
  <c r="X41" i="12"/>
  <c r="X43" i="12"/>
  <c r="X46" i="12"/>
  <c r="H39" i="12"/>
  <c r="H40" i="12"/>
  <c r="H42" i="12"/>
  <c r="H44" i="12"/>
  <c r="H45" i="12"/>
  <c r="H41" i="12"/>
  <c r="H43" i="12"/>
  <c r="H46" i="12"/>
  <c r="D40" i="13"/>
  <c r="D43" i="13"/>
  <c r="D46" i="13"/>
  <c r="D39" i="13"/>
  <c r="D41" i="13"/>
  <c r="D44" i="13"/>
  <c r="D42" i="13"/>
  <c r="D45" i="13"/>
  <c r="D23" i="7"/>
  <c r="H23" i="7"/>
  <c r="J21" i="7"/>
  <c r="D21" i="7"/>
  <c r="B24" i="7"/>
  <c r="B25" i="7" s="1"/>
  <c r="C40" i="1"/>
  <c r="C42" i="1"/>
  <c r="C44" i="1"/>
  <c r="C41" i="1"/>
  <c r="C43" i="1"/>
  <c r="C39" i="1"/>
  <c r="C47" i="1"/>
  <c r="C46" i="1"/>
  <c r="C48" i="1"/>
  <c r="C34" i="1"/>
  <c r="C37" i="1" s="1"/>
  <c r="V41" i="1"/>
  <c r="V40" i="1"/>
  <c r="V42" i="1"/>
  <c r="V44" i="1"/>
  <c r="V43" i="1"/>
  <c r="V39" i="1"/>
  <c r="V47" i="1"/>
  <c r="V48" i="1"/>
  <c r="V46" i="1"/>
  <c r="V34" i="1"/>
  <c r="V37" i="1" s="1"/>
  <c r="Q43" i="1"/>
  <c r="Q39" i="1"/>
  <c r="Q41" i="1"/>
  <c r="Q44" i="1"/>
  <c r="Q40" i="1"/>
  <c r="Q42" i="1"/>
  <c r="Q47" i="1"/>
  <c r="Q48" i="1"/>
  <c r="Q46" i="1"/>
  <c r="Q34" i="1"/>
  <c r="Q37" i="1" s="1"/>
  <c r="O43" i="12"/>
  <c r="O40" i="12"/>
  <c r="O42" i="12"/>
  <c r="O44" i="12"/>
  <c r="O45" i="12"/>
  <c r="O46" i="12"/>
  <c r="O41" i="12"/>
  <c r="O39" i="12"/>
  <c r="E43" i="13"/>
  <c r="E42" i="13"/>
  <c r="E46" i="13"/>
  <c r="E41" i="13"/>
  <c r="E44" i="13"/>
  <c r="E39" i="13"/>
  <c r="E45" i="13"/>
  <c r="E40" i="13"/>
  <c r="W40" i="12"/>
  <c r="W42" i="12"/>
  <c r="W44" i="12"/>
  <c r="W43" i="12"/>
  <c r="W45" i="12"/>
  <c r="W41" i="12"/>
  <c r="W46" i="12"/>
  <c r="W39" i="12"/>
  <c r="K45" i="12"/>
  <c r="K41" i="12"/>
  <c r="K43" i="12"/>
  <c r="K46" i="12"/>
  <c r="K39" i="12"/>
  <c r="K44" i="12"/>
  <c r="K40" i="12"/>
  <c r="K42" i="12"/>
  <c r="I21" i="7"/>
  <c r="R40" i="1"/>
  <c r="R42" i="1"/>
  <c r="R44" i="1"/>
  <c r="R43" i="1"/>
  <c r="R39" i="1"/>
  <c r="R41" i="1"/>
  <c r="R47" i="1"/>
  <c r="R48" i="1"/>
  <c r="R34" i="1"/>
  <c r="R37" i="1" s="1"/>
  <c r="R46" i="1"/>
  <c r="H43" i="1"/>
  <c r="H39" i="1"/>
  <c r="H41" i="1"/>
  <c r="H44" i="1"/>
  <c r="H40" i="1"/>
  <c r="H42" i="1"/>
  <c r="H47" i="1"/>
  <c r="H34" i="1"/>
  <c r="H37" i="1" s="1"/>
  <c r="H46" i="1"/>
  <c r="H48" i="1"/>
  <c r="Y43" i="1"/>
  <c r="Y39" i="1"/>
  <c r="Y41" i="1"/>
  <c r="Y44" i="1"/>
  <c r="Y40" i="1"/>
  <c r="Y42" i="1"/>
  <c r="Y47" i="1"/>
  <c r="Y48" i="1"/>
  <c r="Y46" i="1"/>
  <c r="Y34" i="1"/>
  <c r="Y37" i="1" s="1"/>
  <c r="F41" i="1"/>
  <c r="F39" i="1"/>
  <c r="F40" i="1"/>
  <c r="F42" i="1"/>
  <c r="F44" i="1"/>
  <c r="F43" i="1"/>
  <c r="F47" i="1"/>
  <c r="F34" i="1"/>
  <c r="F37" i="1" s="1"/>
  <c r="F48" i="1"/>
  <c r="F46" i="1"/>
  <c r="AC46" i="12"/>
  <c r="AC39" i="12"/>
  <c r="AC45" i="12"/>
  <c r="AC41" i="12"/>
  <c r="AC43" i="12"/>
  <c r="AC44" i="12"/>
  <c r="AC42" i="12"/>
  <c r="AC40" i="12"/>
  <c r="H44" i="13"/>
  <c r="H43" i="13"/>
  <c r="H39" i="13"/>
  <c r="H42" i="13"/>
  <c r="H45" i="13"/>
  <c r="H40" i="13"/>
  <c r="H46" i="13"/>
  <c r="H41" i="13"/>
  <c r="M43" i="13"/>
  <c r="M46" i="13"/>
  <c r="M41" i="13"/>
  <c r="M42" i="13"/>
  <c r="M44" i="13"/>
  <c r="M39" i="13"/>
  <c r="M45" i="13"/>
  <c r="M40" i="13"/>
  <c r="H21" i="7"/>
  <c r="N41" i="1"/>
  <c r="N39" i="1"/>
  <c r="N40" i="1"/>
  <c r="N42" i="1"/>
  <c r="N44" i="1"/>
  <c r="N43" i="1"/>
  <c r="N47" i="1"/>
  <c r="N46" i="1"/>
  <c r="N48" i="1"/>
  <c r="N34" i="1"/>
  <c r="N37" i="1" s="1"/>
  <c r="I43" i="1"/>
  <c r="I39" i="1"/>
  <c r="I41" i="1"/>
  <c r="I44" i="1"/>
  <c r="I40" i="1"/>
  <c r="I42" i="1"/>
  <c r="I47" i="1"/>
  <c r="I46" i="1"/>
  <c r="I48" i="1"/>
  <c r="I34" i="1"/>
  <c r="I37" i="1" s="1"/>
  <c r="P39" i="12"/>
  <c r="P40" i="12"/>
  <c r="P42" i="12"/>
  <c r="P44" i="12"/>
  <c r="P45" i="12"/>
  <c r="P41" i="12"/>
  <c r="P43" i="12"/>
  <c r="P46" i="12"/>
  <c r="V40" i="12"/>
  <c r="V42" i="12"/>
  <c r="V44" i="12"/>
  <c r="V45" i="12"/>
  <c r="V41" i="12"/>
  <c r="V43" i="12"/>
  <c r="V46" i="12"/>
  <c r="V39" i="12"/>
  <c r="G41" i="13"/>
  <c r="G40" i="13"/>
  <c r="G44" i="13"/>
  <c r="G39" i="13"/>
  <c r="G42" i="13"/>
  <c r="G45" i="13"/>
  <c r="G46" i="13"/>
  <c r="G43" i="13"/>
  <c r="U44" i="1"/>
  <c r="U40" i="1"/>
  <c r="U42" i="1"/>
  <c r="U43" i="1"/>
  <c r="U39" i="1"/>
  <c r="U41" i="1"/>
  <c r="U47" i="1"/>
  <c r="U46" i="1"/>
  <c r="U34" i="1"/>
  <c r="U37" i="1" s="1"/>
  <c r="U48" i="1"/>
  <c r="C25" i="7"/>
  <c r="X43" i="1"/>
  <c r="X39" i="1"/>
  <c r="X44" i="1"/>
  <c r="X41" i="1"/>
  <c r="X40" i="1"/>
  <c r="X42" i="1"/>
  <c r="X47" i="1"/>
  <c r="X34" i="1"/>
  <c r="X37" i="1" s="1"/>
  <c r="X48" i="1"/>
  <c r="X46" i="1"/>
  <c r="E23" i="7"/>
  <c r="H24" i="7"/>
  <c r="S40" i="1"/>
  <c r="S42" i="1"/>
  <c r="S44" i="1"/>
  <c r="S43" i="1"/>
  <c r="S39" i="1"/>
  <c r="S41" i="1"/>
  <c r="S47" i="1"/>
  <c r="S46" i="1"/>
  <c r="S48" i="1"/>
  <c r="S34" i="1"/>
  <c r="S37" i="1" s="1"/>
  <c r="D44" i="1"/>
  <c r="D40" i="1"/>
  <c r="D42" i="1"/>
  <c r="D39" i="1"/>
  <c r="D43" i="1"/>
  <c r="D41" i="1"/>
  <c r="D47" i="1"/>
  <c r="D34" i="1"/>
  <c r="D37" i="1" s="1"/>
  <c r="D46" i="1"/>
  <c r="D48" i="1"/>
  <c r="T44" i="1"/>
  <c r="T43" i="1"/>
  <c r="T39" i="1"/>
  <c r="T40" i="1"/>
  <c r="T42" i="1"/>
  <c r="T41" i="1"/>
  <c r="T47" i="1"/>
  <c r="T34" i="1"/>
  <c r="T37" i="1" s="1"/>
  <c r="T46" i="1"/>
  <c r="T48" i="1"/>
  <c r="B45" i="12"/>
  <c r="B41" i="12"/>
  <c r="B43" i="12"/>
  <c r="B46" i="12"/>
  <c r="B40" i="12"/>
  <c r="B42" i="12"/>
  <c r="B44" i="12"/>
  <c r="B39" i="12"/>
  <c r="Q39" i="12"/>
  <c r="Q40" i="12"/>
  <c r="Q42" i="12"/>
  <c r="Q44" i="12"/>
  <c r="Q46" i="12"/>
  <c r="Q43" i="12"/>
  <c r="Q41" i="12"/>
  <c r="Q45" i="12"/>
  <c r="U39" i="12"/>
  <c r="U46" i="12"/>
  <c r="U45" i="12"/>
  <c r="U41" i="12"/>
  <c r="U43" i="12"/>
  <c r="U42" i="12"/>
  <c r="U40" i="12"/>
  <c r="U44" i="12"/>
  <c r="J42" i="13"/>
  <c r="J45" i="13"/>
  <c r="J40" i="13"/>
  <c r="J43" i="13"/>
  <c r="J41" i="13"/>
  <c r="J46" i="13"/>
  <c r="J44" i="13"/>
  <c r="J39" i="13"/>
  <c r="T39" i="12"/>
  <c r="T45" i="12"/>
  <c r="T41" i="12"/>
  <c r="T43" i="12"/>
  <c r="T46" i="12"/>
  <c r="T40" i="12"/>
  <c r="T42" i="12"/>
  <c r="T44" i="12"/>
  <c r="P43" i="1"/>
  <c r="P39" i="1"/>
  <c r="P41" i="1"/>
  <c r="P44" i="1"/>
  <c r="P40" i="1"/>
  <c r="P42" i="1"/>
  <c r="P47" i="1"/>
  <c r="P46" i="1"/>
  <c r="P34" i="1"/>
  <c r="P37" i="1" s="1"/>
  <c r="P48" i="1"/>
  <c r="G43" i="1"/>
  <c r="G39" i="1"/>
  <c r="G41" i="1"/>
  <c r="G42" i="1"/>
  <c r="G40" i="1"/>
  <c r="G44" i="1"/>
  <c r="G47" i="1"/>
  <c r="G34" i="1"/>
  <c r="G37" i="1" s="1"/>
  <c r="G48" i="1"/>
  <c r="G46" i="1"/>
  <c r="N40" i="12"/>
  <c r="N42" i="12"/>
  <c r="N44" i="12"/>
  <c r="N46" i="12"/>
  <c r="N45" i="12"/>
  <c r="N41" i="12"/>
  <c r="N43" i="12"/>
  <c r="N39" i="12"/>
  <c r="AA44" i="12"/>
  <c r="AA45" i="12"/>
  <c r="AA41" i="12"/>
  <c r="AA43" i="12"/>
  <c r="AA46" i="12"/>
  <c r="AA42" i="12"/>
  <c r="AA39" i="12"/>
  <c r="AA40" i="12"/>
  <c r="S40" i="12"/>
  <c r="S45" i="12"/>
  <c r="S41" i="12"/>
  <c r="S43" i="12"/>
  <c r="S46" i="12"/>
  <c r="S42" i="12"/>
  <c r="S39" i="12"/>
  <c r="S44" i="12"/>
  <c r="C45" i="13"/>
  <c r="C40" i="13"/>
  <c r="C43" i="13"/>
  <c r="C46" i="13"/>
  <c r="C44" i="13"/>
  <c r="C41" i="13"/>
  <c r="C39" i="13"/>
  <c r="C42" i="13"/>
  <c r="N46" i="13"/>
  <c r="N41" i="13"/>
  <c r="N44" i="13"/>
  <c r="N45" i="13"/>
  <c r="N39" i="13"/>
  <c r="N42" i="13"/>
  <c r="N40" i="13"/>
  <c r="N43" i="13"/>
  <c r="C42" i="12"/>
  <c r="C45" i="12"/>
  <c r="C41" i="12"/>
  <c r="C43" i="12"/>
  <c r="C46" i="12"/>
  <c r="C40" i="12"/>
  <c r="C44" i="12"/>
  <c r="C39" i="12"/>
  <c r="M34" i="13"/>
  <c r="M37" i="13" s="1"/>
  <c r="E34" i="13"/>
  <c r="E37" i="13" s="1"/>
  <c r="N34" i="13"/>
  <c r="N37" i="13" s="1"/>
  <c r="H34" i="13"/>
  <c r="H37" i="13" s="1"/>
  <c r="G34" i="13"/>
  <c r="G37" i="13" s="1"/>
  <c r="J34" i="13"/>
  <c r="J37" i="13" s="1"/>
  <c r="C34" i="13"/>
  <c r="C37" i="13" s="1"/>
  <c r="I34" i="13"/>
  <c r="I37" i="13" s="1"/>
  <c r="K34" i="13"/>
  <c r="K37" i="13" s="1"/>
  <c r="B34" i="13"/>
  <c r="B37" i="13" s="1"/>
  <c r="L34" i="13"/>
  <c r="L37" i="13" s="1"/>
  <c r="D34" i="13"/>
  <c r="D37" i="13" s="1"/>
  <c r="F34" i="13"/>
  <c r="F37" i="13" s="1"/>
  <c r="C34" i="12"/>
  <c r="C37" i="12" s="1"/>
  <c r="L34" i="12"/>
  <c r="L37" i="12" s="1"/>
  <c r="U34" i="12"/>
  <c r="U37" i="12" s="1"/>
  <c r="I34" i="12"/>
  <c r="I37" i="12" s="1"/>
  <c r="X34" i="12"/>
  <c r="X37" i="12" s="1"/>
  <c r="W34" i="12"/>
  <c r="W37" i="12" s="1"/>
  <c r="P34" i="12"/>
  <c r="P37" i="12" s="1"/>
  <c r="H34" i="12"/>
  <c r="H37" i="12" s="1"/>
  <c r="Q34" i="12"/>
  <c r="Q37" i="12" s="1"/>
  <c r="M34" i="12"/>
  <c r="M37" i="12" s="1"/>
  <c r="R34" i="12"/>
  <c r="R37" i="12" s="1"/>
  <c r="K34" i="12"/>
  <c r="K37" i="12" s="1"/>
  <c r="O34" i="12"/>
  <c r="O37" i="12" s="1"/>
  <c r="T34" i="12"/>
  <c r="T37" i="12" s="1"/>
  <c r="AC34" i="12"/>
  <c r="AC37" i="12" s="1"/>
  <c r="AB34" i="12"/>
  <c r="AB37" i="12" s="1"/>
  <c r="AA34" i="12"/>
  <c r="AA37" i="12" s="1"/>
  <c r="E34" i="12"/>
  <c r="E37" i="12" s="1"/>
  <c r="B34" i="12"/>
  <c r="B37" i="12" s="1"/>
  <c r="S34" i="12"/>
  <c r="S37" i="12" s="1"/>
  <c r="N34" i="12"/>
  <c r="N37" i="12" s="1"/>
  <c r="F34" i="12"/>
  <c r="F37" i="12" s="1"/>
  <c r="V34" i="12"/>
  <c r="V37" i="12" s="1"/>
  <c r="M36" i="1"/>
  <c r="D36" i="12"/>
  <c r="AC36" i="1"/>
  <c r="L36" i="1"/>
  <c r="Y36" i="12"/>
  <c r="G36" i="12"/>
  <c r="B10" i="1"/>
  <c r="AB36" i="1"/>
  <c r="K36" i="1"/>
  <c r="B11" i="1"/>
  <c r="F30" i="1" s="1"/>
  <c r="B9" i="1"/>
  <c r="U23" i="1" s="1"/>
  <c r="AA36" i="1"/>
  <c r="N73" i="1"/>
  <c r="W73" i="1"/>
  <c r="P73" i="1"/>
  <c r="L73" i="1"/>
  <c r="K73" i="1"/>
  <c r="Y77" i="1"/>
  <c r="S73" i="1"/>
  <c r="O77" i="1"/>
  <c r="AA73" i="1"/>
  <c r="O73" i="1"/>
  <c r="Z73" i="1"/>
  <c r="G73" i="1"/>
  <c r="M73" i="1"/>
  <c r="N77" i="1"/>
  <c r="F73" i="1"/>
  <c r="T73" i="1"/>
  <c r="B80" i="1"/>
  <c r="AC73" i="1"/>
  <c r="Z77" i="1"/>
  <c r="G77" i="1"/>
  <c r="R73" i="1"/>
  <c r="AC77" i="1"/>
  <c r="L77" i="1"/>
  <c r="C73" i="1"/>
  <c r="AB73" i="1"/>
  <c r="AB77" i="1"/>
  <c r="F77" i="1"/>
  <c r="I77" i="1"/>
  <c r="X77" i="1"/>
  <c r="Q77" i="1"/>
  <c r="C77" i="1"/>
  <c r="E77" i="1"/>
  <c r="B77" i="1"/>
  <c r="D73" i="1"/>
  <c r="Y73" i="1"/>
  <c r="AA77" i="1"/>
  <c r="J73" i="1"/>
  <c r="U73" i="1"/>
  <c r="K77" i="1"/>
  <c r="B73" i="1"/>
  <c r="Q73" i="1"/>
  <c r="V73" i="1"/>
  <c r="P77" i="1"/>
  <c r="I73" i="1"/>
  <c r="J77" i="1"/>
  <c r="H73" i="1"/>
  <c r="H77" i="1"/>
  <c r="E73" i="1"/>
  <c r="X73" i="1"/>
  <c r="M77" i="1"/>
  <c r="D77" i="1"/>
  <c r="X77" i="12"/>
  <c r="C77" i="12"/>
  <c r="K77" i="12"/>
  <c r="F77" i="12"/>
  <c r="U73" i="12"/>
  <c r="J73" i="12"/>
  <c r="O73" i="12"/>
  <c r="Q77" i="12"/>
  <c r="B73" i="12"/>
  <c r="I73" i="12"/>
  <c r="Z73" i="12"/>
  <c r="E77" i="12"/>
  <c r="X73" i="12"/>
  <c r="AB77" i="12"/>
  <c r="L73" i="12"/>
  <c r="Z77" i="12"/>
  <c r="F73" i="12"/>
  <c r="Y73" i="12"/>
  <c r="H77" i="12"/>
  <c r="E73" i="12"/>
  <c r="R73" i="12"/>
  <c r="AA77" i="12"/>
  <c r="K73" i="12"/>
  <c r="N77" i="12"/>
  <c r="G77" i="12"/>
  <c r="G73" i="12"/>
  <c r="W73" i="12"/>
  <c r="AC73" i="12"/>
  <c r="D73" i="12"/>
  <c r="B80" i="12"/>
  <c r="Q73" i="12"/>
  <c r="AB73" i="12"/>
  <c r="N73" i="12"/>
  <c r="M77" i="12"/>
  <c r="V73" i="12"/>
  <c r="C73" i="12"/>
  <c r="J77" i="12"/>
  <c r="B77" i="12"/>
  <c r="T73" i="12"/>
  <c r="AA73" i="12"/>
  <c r="M73" i="12"/>
  <c r="P77" i="12"/>
  <c r="AC77" i="12"/>
  <c r="I77" i="12"/>
  <c r="S73" i="12"/>
  <c r="H73" i="12"/>
  <c r="P73" i="12"/>
  <c r="Y77" i="12"/>
  <c r="O77" i="12"/>
  <c r="D77" i="12"/>
  <c r="L77" i="12"/>
  <c r="G24" i="13"/>
  <c r="B24" i="13"/>
  <c r="N24" i="13"/>
  <c r="C24" i="13"/>
  <c r="H24" i="13"/>
  <c r="I24" i="13"/>
  <c r="C73" i="13"/>
  <c r="K73" i="13"/>
  <c r="J73" i="13"/>
  <c r="L77" i="13"/>
  <c r="L73" i="13"/>
  <c r="J77" i="13"/>
  <c r="H73" i="13"/>
  <c r="F77" i="13"/>
  <c r="G73" i="13"/>
  <c r="F73" i="13"/>
  <c r="D77" i="13"/>
  <c r="M77" i="13"/>
  <c r="B73" i="13"/>
  <c r="E77" i="13"/>
  <c r="M73" i="13"/>
  <c r="D73" i="13"/>
  <c r="I73" i="13"/>
  <c r="E73" i="13"/>
  <c r="B79" i="13"/>
  <c r="K77" i="13"/>
  <c r="W21" i="1"/>
  <c r="I21" i="1"/>
  <c r="Z21" i="1"/>
  <c r="O21" i="1"/>
  <c r="J21" i="1"/>
  <c r="N21" i="1"/>
  <c r="E21" i="1"/>
  <c r="V21" i="1"/>
  <c r="AC21" i="1"/>
  <c r="M21" i="1"/>
  <c r="K21" i="1"/>
  <c r="G21" i="1"/>
  <c r="B21" i="1"/>
  <c r="L21" i="1"/>
  <c r="T21" i="1"/>
  <c r="D21" i="1"/>
  <c r="X21" i="1"/>
  <c r="P21" i="1"/>
  <c r="U21" i="1"/>
  <c r="Y21" i="1"/>
  <c r="F21" i="1"/>
  <c r="S21" i="1"/>
  <c r="AB21" i="1"/>
  <c r="C21" i="1"/>
  <c r="R21" i="1"/>
  <c r="Q21" i="1"/>
  <c r="H21" i="1"/>
  <c r="AA21" i="1"/>
  <c r="J36" i="1"/>
  <c r="B9" i="13"/>
  <c r="Z36" i="12"/>
  <c r="J36" i="12"/>
  <c r="I30" i="1"/>
  <c r="B7" i="13"/>
  <c r="B8" i="13" s="1"/>
  <c r="B11" i="13"/>
  <c r="N30" i="13" s="1"/>
  <c r="Z36" i="1"/>
  <c r="B11" i="12"/>
  <c r="F30" i="12" s="1"/>
  <c r="P23" i="12"/>
  <c r="AC23" i="12"/>
  <c r="U23" i="12"/>
  <c r="O23" i="12"/>
  <c r="G23" i="12"/>
  <c r="L23" i="12"/>
  <c r="AB23" i="12"/>
  <c r="F23" i="12"/>
  <c r="T23" i="12"/>
  <c r="I23" i="12"/>
  <c r="W23" i="12"/>
  <c r="S23" i="12"/>
  <c r="D23" i="12"/>
  <c r="C23" i="12"/>
  <c r="V23" i="12"/>
  <c r="Y23" i="12"/>
  <c r="Q23" i="12"/>
  <c r="B23" i="12"/>
  <c r="K23" i="12"/>
  <c r="H23" i="12"/>
  <c r="X23" i="12"/>
  <c r="N23" i="12"/>
  <c r="AA23" i="12"/>
  <c r="R23" i="12"/>
  <c r="J23" i="12"/>
  <c r="E23" i="12"/>
  <c r="Z23" i="12"/>
  <c r="M23" i="12"/>
  <c r="B7" i="12"/>
  <c r="B8" i="12" s="1"/>
  <c r="B10" i="12"/>
  <c r="B27" i="7" l="1"/>
  <c r="D28" i="7"/>
  <c r="C36" i="7"/>
  <c r="C39" i="7" s="1"/>
  <c r="C35" i="7"/>
  <c r="C38" i="7" s="1"/>
  <c r="G45" i="12"/>
  <c r="G40" i="12"/>
  <c r="G42" i="12"/>
  <c r="G44" i="12"/>
  <c r="G41" i="12"/>
  <c r="G46" i="12"/>
  <c r="G43" i="12"/>
  <c r="G39" i="12"/>
  <c r="I22" i="7"/>
  <c r="I33" i="7"/>
  <c r="I25" i="7"/>
  <c r="J45" i="12"/>
  <c r="J41" i="12"/>
  <c r="J43" i="12"/>
  <c r="J46" i="12"/>
  <c r="J39" i="12"/>
  <c r="J40" i="12"/>
  <c r="J42" i="12"/>
  <c r="J44" i="12"/>
  <c r="Y44" i="12"/>
  <c r="Y39" i="12"/>
  <c r="Y40" i="12"/>
  <c r="Y42" i="12"/>
  <c r="Y46" i="12"/>
  <c r="Y45" i="12"/>
  <c r="Y43" i="12"/>
  <c r="Y41" i="12"/>
  <c r="D22" i="7"/>
  <c r="D25" i="7"/>
  <c r="D33" i="7"/>
  <c r="C27" i="7"/>
  <c r="Z45" i="12"/>
  <c r="Z41" i="12"/>
  <c r="Z43" i="12"/>
  <c r="Z46" i="12"/>
  <c r="Z44" i="12"/>
  <c r="Z39" i="12"/>
  <c r="Z40" i="12"/>
  <c r="Z42" i="12"/>
  <c r="AA41" i="1"/>
  <c r="AA40" i="1"/>
  <c r="AA42" i="1"/>
  <c r="AA44" i="1"/>
  <c r="AA43" i="1"/>
  <c r="AA39" i="1"/>
  <c r="AA47" i="1"/>
  <c r="AA46" i="1"/>
  <c r="AA34" i="1"/>
  <c r="AA37" i="1" s="1"/>
  <c r="AA48" i="1"/>
  <c r="L43" i="1"/>
  <c r="L44" i="1"/>
  <c r="L40" i="1"/>
  <c r="L42" i="1"/>
  <c r="L39" i="1"/>
  <c r="L41" i="1"/>
  <c r="L47" i="1"/>
  <c r="L46" i="1"/>
  <c r="L34" i="1"/>
  <c r="L37" i="1" s="1"/>
  <c r="L48" i="1"/>
  <c r="J25" i="7"/>
  <c r="J22" i="7"/>
  <c r="J33" i="7"/>
  <c r="M22" i="7"/>
  <c r="M25" i="7"/>
  <c r="AC44" i="1"/>
  <c r="AC40" i="1"/>
  <c r="AC42" i="1"/>
  <c r="AC43" i="1"/>
  <c r="AC39" i="1"/>
  <c r="AC41" i="1"/>
  <c r="AC47" i="1"/>
  <c r="AC34" i="1"/>
  <c r="AC37" i="1" s="1"/>
  <c r="AC48" i="1"/>
  <c r="AC46" i="1"/>
  <c r="B33" i="7"/>
  <c r="K25" i="7"/>
  <c r="K22" i="7"/>
  <c r="Z40" i="1"/>
  <c r="Z42" i="1"/>
  <c r="Z44" i="1"/>
  <c r="Z43" i="1"/>
  <c r="Z39" i="1"/>
  <c r="Z41" i="1"/>
  <c r="Z47" i="1"/>
  <c r="Z34" i="1"/>
  <c r="Z37" i="1" s="1"/>
  <c r="Z48" i="1"/>
  <c r="Z46" i="1"/>
  <c r="K73" i="7"/>
  <c r="K34" i="7" s="1"/>
  <c r="K35" i="7" s="1"/>
  <c r="K38" i="7" s="1"/>
  <c r="E73" i="7"/>
  <c r="E34" i="7" s="1"/>
  <c r="E35" i="7" s="1"/>
  <c r="E38" i="7" s="1"/>
  <c r="J73" i="7"/>
  <c r="J34" i="7" s="1"/>
  <c r="D71" i="7"/>
  <c r="G71" i="7"/>
  <c r="M71" i="7"/>
  <c r="I71" i="7"/>
  <c r="E71" i="7"/>
  <c r="F71" i="7"/>
  <c r="F73" i="7"/>
  <c r="F34" i="7" s="1"/>
  <c r="F35" i="7" s="1"/>
  <c r="F38" i="7" s="1"/>
  <c r="L71" i="7"/>
  <c r="C71" i="7"/>
  <c r="J71" i="7"/>
  <c r="H71" i="7"/>
  <c r="M73" i="7"/>
  <c r="M34" i="7" s="1"/>
  <c r="M35" i="7" s="1"/>
  <c r="M38" i="7" s="1"/>
  <c r="L73" i="7"/>
  <c r="L34" i="7" s="1"/>
  <c r="L35" i="7" s="1"/>
  <c r="L38" i="7" s="1"/>
  <c r="D73" i="7"/>
  <c r="D34" i="7" s="1"/>
  <c r="K71" i="7"/>
  <c r="B71" i="7"/>
  <c r="J40" i="1"/>
  <c r="J42" i="1"/>
  <c r="J44" i="1"/>
  <c r="J43" i="1"/>
  <c r="J39" i="1"/>
  <c r="J41" i="1"/>
  <c r="J47" i="1"/>
  <c r="J34" i="1"/>
  <c r="J37" i="1" s="1"/>
  <c r="J48" i="1"/>
  <c r="J46" i="1"/>
  <c r="D39" i="12"/>
  <c r="D45" i="12"/>
  <c r="D41" i="12"/>
  <c r="D43" i="12"/>
  <c r="D46" i="12"/>
  <c r="D40" i="12"/>
  <c r="D42" i="12"/>
  <c r="D44" i="12"/>
  <c r="N30" i="1"/>
  <c r="AC30" i="1"/>
  <c r="K40" i="1"/>
  <c r="K42" i="1"/>
  <c r="K44" i="1"/>
  <c r="K41" i="1"/>
  <c r="K43" i="1"/>
  <c r="K39" i="1"/>
  <c r="K47" i="1"/>
  <c r="K48" i="1"/>
  <c r="K34" i="1"/>
  <c r="K37" i="1" s="1"/>
  <c r="K46" i="1"/>
  <c r="M44" i="1"/>
  <c r="M40" i="1"/>
  <c r="M42" i="1"/>
  <c r="M43" i="1"/>
  <c r="M39" i="1"/>
  <c r="M41" i="1"/>
  <c r="M47" i="1"/>
  <c r="M34" i="1"/>
  <c r="M37" i="1" s="1"/>
  <c r="M48" i="1"/>
  <c r="M46" i="1"/>
  <c r="AB44" i="1"/>
  <c r="AB40" i="1"/>
  <c r="AB42" i="1"/>
  <c r="AB43" i="1"/>
  <c r="AB39" i="1"/>
  <c r="AB41" i="1"/>
  <c r="AB47" i="1"/>
  <c r="AB34" i="1"/>
  <c r="AB37" i="1" s="1"/>
  <c r="AB48" i="1"/>
  <c r="AB46" i="1"/>
  <c r="L27" i="7"/>
  <c r="B28" i="7"/>
  <c r="G33" i="7"/>
  <c r="G22" i="7"/>
  <c r="G25" i="7"/>
  <c r="H25" i="7"/>
  <c r="H33" i="7"/>
  <c r="H22" i="7"/>
  <c r="E25" i="7"/>
  <c r="E28" i="7" s="1"/>
  <c r="E22" i="7"/>
  <c r="N27" i="7"/>
  <c r="N28" i="7" s="1"/>
  <c r="G34" i="12"/>
  <c r="G37" i="12" s="1"/>
  <c r="Y34" i="12"/>
  <c r="Y37" i="12" s="1"/>
  <c r="Z34" i="12"/>
  <c r="Z37" i="12" s="1"/>
  <c r="J34" i="12"/>
  <c r="J37" i="12" s="1"/>
  <c r="D34" i="12"/>
  <c r="D37" i="12" s="1"/>
  <c r="G30" i="1"/>
  <c r="AA23" i="1"/>
  <c r="Q23" i="1"/>
  <c r="C23" i="1"/>
  <c r="N23" i="1"/>
  <c r="N25" i="1" s="1"/>
  <c r="D23" i="1"/>
  <c r="H23" i="1"/>
  <c r="H25" i="1" s="1"/>
  <c r="R23" i="1"/>
  <c r="W23" i="1"/>
  <c r="F23" i="1"/>
  <c r="F25" i="1" s="1"/>
  <c r="G30" i="12"/>
  <c r="K23" i="1"/>
  <c r="K25" i="1" s="1"/>
  <c r="V23" i="1"/>
  <c r="Z23" i="1"/>
  <c r="Z25" i="1" s="1"/>
  <c r="L23" i="1"/>
  <c r="M23" i="1"/>
  <c r="AC23" i="1"/>
  <c r="T23" i="1"/>
  <c r="T25" i="1" s="1"/>
  <c r="B23" i="1"/>
  <c r="Y23" i="1"/>
  <c r="Y25" i="1" s="1"/>
  <c r="X23" i="1"/>
  <c r="X25" i="1" s="1"/>
  <c r="AB23" i="1"/>
  <c r="AB25" i="1" s="1"/>
  <c r="P23" i="1"/>
  <c r="I23" i="1"/>
  <c r="S23" i="1"/>
  <c r="G23" i="1"/>
  <c r="G25" i="1" s="1"/>
  <c r="J23" i="1"/>
  <c r="J25" i="1" s="1"/>
  <c r="E23" i="1"/>
  <c r="E25" i="1" s="1"/>
  <c r="O23" i="1"/>
  <c r="O25" i="1" s="1"/>
  <c r="H30" i="1"/>
  <c r="AA30" i="1"/>
  <c r="B30" i="1"/>
  <c r="C30" i="1"/>
  <c r="Y30" i="1"/>
  <c r="Z30" i="1"/>
  <c r="AB30" i="1"/>
  <c r="O30" i="1"/>
  <c r="D30" i="1"/>
  <c r="Y30" i="12"/>
  <c r="J24" i="1"/>
  <c r="P24" i="1"/>
  <c r="R24" i="1"/>
  <c r="R25" i="1" s="1"/>
  <c r="W24" i="1"/>
  <c r="W25" i="1" s="1"/>
  <c r="V24" i="1"/>
  <c r="M24" i="1"/>
  <c r="M25" i="1" s="1"/>
  <c r="S24" i="1"/>
  <c r="U24" i="1"/>
  <c r="U25" i="1" s="1"/>
  <c r="T24" i="1"/>
  <c r="L24" i="1"/>
  <c r="C30" i="12"/>
  <c r="B30" i="12"/>
  <c r="H30" i="12"/>
  <c r="N30" i="12"/>
  <c r="D22" i="1"/>
  <c r="D26" i="1" s="1"/>
  <c r="D25" i="1"/>
  <c r="T22" i="1"/>
  <c r="L74" i="13"/>
  <c r="K76" i="13"/>
  <c r="H74" i="13"/>
  <c r="D74" i="13"/>
  <c r="G74" i="13"/>
  <c r="K74" i="13"/>
  <c r="B74" i="13"/>
  <c r="J74" i="13"/>
  <c r="C74" i="13"/>
  <c r="M76" i="13"/>
  <c r="F76" i="13"/>
  <c r="J76" i="13"/>
  <c r="E76" i="13"/>
  <c r="E74" i="13"/>
  <c r="L76" i="13"/>
  <c r="F74" i="13"/>
  <c r="M74" i="13"/>
  <c r="I74" i="13"/>
  <c r="D76" i="13"/>
  <c r="L22" i="1"/>
  <c r="AA22" i="1"/>
  <c r="AA26" i="1" s="1"/>
  <c r="AA25" i="1"/>
  <c r="G22" i="1"/>
  <c r="G26" i="1" s="1"/>
  <c r="AA30" i="12"/>
  <c r="H22" i="1"/>
  <c r="H26" i="1" s="1"/>
  <c r="K22" i="1"/>
  <c r="Q25" i="1"/>
  <c r="Q22" i="1"/>
  <c r="M22" i="1"/>
  <c r="L23" i="13"/>
  <c r="B23" i="13"/>
  <c r="C23" i="13"/>
  <c r="G23" i="13"/>
  <c r="J23" i="13"/>
  <c r="M23" i="13"/>
  <c r="N23" i="13"/>
  <c r="D23" i="13"/>
  <c r="K23" i="13"/>
  <c r="F23" i="13"/>
  <c r="I23" i="13"/>
  <c r="H23" i="13"/>
  <c r="E23" i="13"/>
  <c r="Z30" i="12"/>
  <c r="I30" i="12"/>
  <c r="R22" i="1"/>
  <c r="AC22" i="1"/>
  <c r="AC26" i="1" s="1"/>
  <c r="AC25" i="1"/>
  <c r="O30" i="12"/>
  <c r="C25" i="1"/>
  <c r="C22" i="1"/>
  <c r="C26" i="1" s="1"/>
  <c r="V22" i="1"/>
  <c r="AC30" i="12"/>
  <c r="AB30" i="12"/>
  <c r="G21" i="13"/>
  <c r="N21" i="13"/>
  <c r="B21" i="13"/>
  <c r="F21" i="13"/>
  <c r="K21" i="13"/>
  <c r="L21" i="13"/>
  <c r="C21" i="13"/>
  <c r="H21" i="13"/>
  <c r="D21" i="13"/>
  <c r="M21" i="13"/>
  <c r="I21" i="13"/>
  <c r="E21" i="13"/>
  <c r="J21" i="13"/>
  <c r="AB22" i="1"/>
  <c r="AB26" i="1" s="1"/>
  <c r="E22" i="1"/>
  <c r="S22" i="1"/>
  <c r="N22" i="1"/>
  <c r="N26" i="1" s="1"/>
  <c r="F22" i="1"/>
  <c r="F26" i="1" s="1"/>
  <c r="J22" i="1"/>
  <c r="B22" i="1"/>
  <c r="B26" i="1" s="1"/>
  <c r="B25" i="1"/>
  <c r="Y22" i="1"/>
  <c r="Y26" i="1" s="1"/>
  <c r="O22" i="1"/>
  <c r="O26" i="1" s="1"/>
  <c r="U22" i="1"/>
  <c r="Z22" i="1"/>
  <c r="Z26" i="1" s="1"/>
  <c r="D30" i="12"/>
  <c r="P22" i="1"/>
  <c r="I25" i="1"/>
  <c r="I22" i="1"/>
  <c r="I26" i="1" s="1"/>
  <c r="X22" i="1"/>
  <c r="W22" i="1"/>
  <c r="Q76" i="12"/>
  <c r="O76" i="12"/>
  <c r="T74" i="12"/>
  <c r="B74" i="12"/>
  <c r="O74" i="12"/>
  <c r="J74" i="12"/>
  <c r="N76" i="12"/>
  <c r="Z74" i="12"/>
  <c r="I74" i="12"/>
  <c r="D76" i="12"/>
  <c r="D18" i="12" s="1"/>
  <c r="AC74" i="12"/>
  <c r="L74" i="12"/>
  <c r="E76" i="12"/>
  <c r="E18" i="12" s="1"/>
  <c r="K76" i="12"/>
  <c r="K18" i="12" s="1"/>
  <c r="F76" i="12"/>
  <c r="F18" i="12" s="1"/>
  <c r="AA76" i="12"/>
  <c r="AA18" i="12" s="1"/>
  <c r="W74" i="12"/>
  <c r="D74" i="12"/>
  <c r="N74" i="12"/>
  <c r="AC76" i="12"/>
  <c r="AC18" i="12" s="1"/>
  <c r="AB74" i="12"/>
  <c r="L76" i="12"/>
  <c r="H76" i="12"/>
  <c r="H18" i="12" s="1"/>
  <c r="X76" i="12"/>
  <c r="V74" i="12"/>
  <c r="Q74" i="12"/>
  <c r="C74" i="12"/>
  <c r="K74" i="12"/>
  <c r="M76" i="12"/>
  <c r="G74" i="12"/>
  <c r="F74" i="12"/>
  <c r="AA74" i="12"/>
  <c r="G76" i="12"/>
  <c r="G18" i="12" s="1"/>
  <c r="Y76" i="12"/>
  <c r="R74" i="12"/>
  <c r="B76" i="12"/>
  <c r="B18" i="12" s="1"/>
  <c r="U74" i="12"/>
  <c r="AB76" i="12"/>
  <c r="AB18" i="12" s="1"/>
  <c r="P74" i="12"/>
  <c r="X74" i="12"/>
  <c r="S74" i="12"/>
  <c r="J76" i="12"/>
  <c r="J18" i="12" s="1"/>
  <c r="P76" i="12"/>
  <c r="C76" i="12"/>
  <c r="C18" i="12" s="1"/>
  <c r="Y74" i="12"/>
  <c r="H74" i="12"/>
  <c r="M74" i="12"/>
  <c r="Z76" i="12"/>
  <c r="E74" i="12"/>
  <c r="I76" i="12"/>
  <c r="I18" i="12" s="1"/>
  <c r="H74" i="1"/>
  <c r="Z74" i="1"/>
  <c r="U74" i="1"/>
  <c r="O74" i="1"/>
  <c r="O76" i="1"/>
  <c r="K76" i="1"/>
  <c r="K18" i="1" s="1"/>
  <c r="Z76" i="1"/>
  <c r="B74" i="1"/>
  <c r="S74" i="1"/>
  <c r="Q74" i="1"/>
  <c r="P74" i="1"/>
  <c r="Y74" i="1"/>
  <c r="AC74" i="1"/>
  <c r="C74" i="1"/>
  <c r="I76" i="1"/>
  <c r="I18" i="1" s="1"/>
  <c r="Q76" i="1"/>
  <c r="G76" i="1"/>
  <c r="G18" i="1" s="1"/>
  <c r="AC76" i="1"/>
  <c r="AC18" i="1" s="1"/>
  <c r="R74" i="1"/>
  <c r="P76" i="1"/>
  <c r="E76" i="1"/>
  <c r="E18" i="1" s="1"/>
  <c r="W74" i="1"/>
  <c r="AB76" i="1"/>
  <c r="AB18" i="1" s="1"/>
  <c r="L76" i="1"/>
  <c r="G74" i="1"/>
  <c r="I74" i="1"/>
  <c r="B76" i="1"/>
  <c r="B18" i="1" s="1"/>
  <c r="F74" i="1"/>
  <c r="J74" i="1"/>
  <c r="X74" i="1"/>
  <c r="AA76" i="1"/>
  <c r="AA18" i="1" s="1"/>
  <c r="K74" i="1"/>
  <c r="N74" i="1"/>
  <c r="L74" i="1"/>
  <c r="T74" i="1"/>
  <c r="N76" i="1"/>
  <c r="M76" i="1"/>
  <c r="Y76" i="1"/>
  <c r="D76" i="1"/>
  <c r="D18" i="1" s="1"/>
  <c r="AB74" i="1"/>
  <c r="J76" i="1"/>
  <c r="J18" i="1" s="1"/>
  <c r="AA74" i="1"/>
  <c r="X76" i="1"/>
  <c r="M74" i="1"/>
  <c r="F76" i="1"/>
  <c r="F18" i="1" s="1"/>
  <c r="V74" i="1"/>
  <c r="E74" i="1"/>
  <c r="C76" i="1"/>
  <c r="C18" i="1" s="1"/>
  <c r="D74" i="1"/>
  <c r="H76" i="1"/>
  <c r="H18" i="1" s="1"/>
  <c r="Q21" i="12"/>
  <c r="H21" i="12"/>
  <c r="AC21" i="12"/>
  <c r="V21" i="12"/>
  <c r="E21" i="12"/>
  <c r="S21" i="12"/>
  <c r="B21" i="12"/>
  <c r="J21" i="12"/>
  <c r="Z21" i="12"/>
  <c r="G21" i="12"/>
  <c r="L21" i="12"/>
  <c r="W21" i="12"/>
  <c r="R21" i="12"/>
  <c r="I21" i="12"/>
  <c r="D21" i="12"/>
  <c r="X21" i="12"/>
  <c r="F21" i="12"/>
  <c r="N21" i="12"/>
  <c r="AB21" i="12"/>
  <c r="O21" i="12"/>
  <c r="T21" i="12"/>
  <c r="K21" i="12"/>
  <c r="Y21" i="12"/>
  <c r="U21" i="12"/>
  <c r="P21" i="12"/>
  <c r="AA21" i="12"/>
  <c r="M21" i="12"/>
  <c r="C21" i="12"/>
  <c r="L24" i="12"/>
  <c r="V24" i="12"/>
  <c r="U24" i="12"/>
  <c r="T24" i="12"/>
  <c r="M24" i="12"/>
  <c r="S24" i="12"/>
  <c r="W24" i="12"/>
  <c r="R24" i="12"/>
  <c r="J24" i="12"/>
  <c r="P24" i="12"/>
  <c r="H35" i="7" l="1"/>
  <c r="H38" i="7" s="1"/>
  <c r="H36" i="7"/>
  <c r="H39" i="7" s="1"/>
  <c r="B36" i="7"/>
  <c r="B39" i="7" s="1"/>
  <c r="B35" i="7"/>
  <c r="B38" i="7" s="1"/>
  <c r="H27" i="7"/>
  <c r="J28" i="7"/>
  <c r="K28" i="7"/>
  <c r="I27" i="7"/>
  <c r="I28" i="7"/>
  <c r="G27" i="7"/>
  <c r="H28" i="7"/>
  <c r="I35" i="7"/>
  <c r="I38" i="7" s="1"/>
  <c r="I36" i="7"/>
  <c r="I39" i="7" s="1"/>
  <c r="C28" i="7"/>
  <c r="M27" i="7"/>
  <c r="G36" i="7"/>
  <c r="G39" i="7" s="1"/>
  <c r="G35" i="7"/>
  <c r="G38" i="7" s="1"/>
  <c r="J36" i="7"/>
  <c r="J39" i="7" s="1"/>
  <c r="J35" i="7"/>
  <c r="J38" i="7" s="1"/>
  <c r="C42" i="7"/>
  <c r="C44" i="7"/>
  <c r="C43" i="7"/>
  <c r="C45" i="7"/>
  <c r="C41" i="7"/>
  <c r="C48" i="7" s="1"/>
  <c r="C50" i="7" s="1"/>
  <c r="L25" i="1"/>
  <c r="L28" i="1" s="1"/>
  <c r="P25" i="1"/>
  <c r="P27" i="1" s="1"/>
  <c r="G28" i="7"/>
  <c r="E27" i="7"/>
  <c r="D36" i="7"/>
  <c r="D39" i="7" s="1"/>
  <c r="D35" i="7"/>
  <c r="D38" i="7" s="1"/>
  <c r="K27" i="7"/>
  <c r="M28" i="7"/>
  <c r="L28" i="7"/>
  <c r="J27" i="7"/>
  <c r="F28" i="7"/>
  <c r="D27" i="7"/>
  <c r="V25" i="1"/>
  <c r="S25" i="1"/>
  <c r="AC27" i="1"/>
  <c r="AC28" i="1" s="1"/>
  <c r="J27" i="1"/>
  <c r="D25" i="13"/>
  <c r="D22" i="13"/>
  <c r="K28" i="1"/>
  <c r="I27" i="1"/>
  <c r="H25" i="13"/>
  <c r="H22" i="13"/>
  <c r="L25" i="13"/>
  <c r="L22" i="13"/>
  <c r="O28" i="1"/>
  <c r="M27" i="1"/>
  <c r="N27" i="1"/>
  <c r="K22" i="13"/>
  <c r="K25" i="13"/>
  <c r="I28" i="1"/>
  <c r="G27" i="1"/>
  <c r="F25" i="13"/>
  <c r="F22" i="13"/>
  <c r="B28" i="1"/>
  <c r="AA27" i="1"/>
  <c r="S27" i="1"/>
  <c r="U28" i="1"/>
  <c r="B25" i="13"/>
  <c r="B22" i="13"/>
  <c r="Q27" i="1"/>
  <c r="S28" i="1"/>
  <c r="AB28" i="1"/>
  <c r="Z27" i="1"/>
  <c r="N22" i="13"/>
  <c r="N26" i="13" s="1"/>
  <c r="N25" i="13"/>
  <c r="M28" i="1"/>
  <c r="K27" i="1"/>
  <c r="R27" i="1"/>
  <c r="T28" i="1"/>
  <c r="W28" i="1"/>
  <c r="U27" i="1"/>
  <c r="G22" i="13"/>
  <c r="G25" i="13"/>
  <c r="N28" i="1"/>
  <c r="L27" i="1"/>
  <c r="G28" i="1"/>
  <c r="E27" i="1"/>
  <c r="C22" i="13"/>
  <c r="C25" i="13"/>
  <c r="H27" i="1"/>
  <c r="J28" i="1"/>
  <c r="W27" i="1"/>
  <c r="Y28" i="1"/>
  <c r="O27" i="1"/>
  <c r="AB27" i="1"/>
  <c r="C28" i="1"/>
  <c r="X28" i="1"/>
  <c r="V27" i="1"/>
  <c r="F27" i="1"/>
  <c r="H28" i="1"/>
  <c r="X27" i="1"/>
  <c r="Z28" i="1"/>
  <c r="J25" i="13"/>
  <c r="J22" i="13"/>
  <c r="Y27" i="1"/>
  <c r="AA28" i="1"/>
  <c r="E25" i="13"/>
  <c r="E22" i="13"/>
  <c r="V28" i="1"/>
  <c r="T27" i="1"/>
  <c r="B27" i="1"/>
  <c r="D28" i="1"/>
  <c r="I25" i="13"/>
  <c r="I22" i="13"/>
  <c r="C27" i="1"/>
  <c r="E28" i="1"/>
  <c r="D27" i="1"/>
  <c r="F28" i="1"/>
  <c r="M22" i="13"/>
  <c r="M25" i="13"/>
  <c r="Y22" i="12"/>
  <c r="Y26" i="12" s="1"/>
  <c r="Y25" i="12"/>
  <c r="T25" i="12"/>
  <c r="T22" i="12"/>
  <c r="B25" i="12"/>
  <c r="B22" i="12"/>
  <c r="B26" i="12" s="1"/>
  <c r="N22" i="12"/>
  <c r="N26" i="12" s="1"/>
  <c r="N25" i="12"/>
  <c r="S22" i="12"/>
  <c r="S25" i="12"/>
  <c r="F25" i="12"/>
  <c r="F22" i="12"/>
  <c r="F26" i="12" s="1"/>
  <c r="E22" i="12"/>
  <c r="E25" i="12"/>
  <c r="W22" i="12"/>
  <c r="W25" i="12"/>
  <c r="L22" i="12"/>
  <c r="L25" i="12"/>
  <c r="K25" i="12"/>
  <c r="K22" i="12"/>
  <c r="Z25" i="12"/>
  <c r="Z22" i="12"/>
  <c r="Z26" i="12" s="1"/>
  <c r="O22" i="12"/>
  <c r="O26" i="12" s="1"/>
  <c r="O25" i="12"/>
  <c r="C22" i="12"/>
  <c r="C26" i="12" s="1"/>
  <c r="C25" i="12"/>
  <c r="X22" i="12"/>
  <c r="X25" i="12"/>
  <c r="V25" i="12"/>
  <c r="V22" i="12"/>
  <c r="U22" i="12"/>
  <c r="U25" i="12"/>
  <c r="AB25" i="12"/>
  <c r="AB22" i="12"/>
  <c r="AB26" i="12" s="1"/>
  <c r="M25" i="12"/>
  <c r="M22" i="12"/>
  <c r="D25" i="12"/>
  <c r="D22" i="12"/>
  <c r="D26" i="12" s="1"/>
  <c r="AC22" i="12"/>
  <c r="AC26" i="12" s="1"/>
  <c r="AC25" i="12"/>
  <c r="J22" i="12"/>
  <c r="J25" i="12"/>
  <c r="AA25" i="12"/>
  <c r="AA22" i="12"/>
  <c r="AA26" i="12" s="1"/>
  <c r="I25" i="12"/>
  <c r="I22" i="12"/>
  <c r="I26" i="12" s="1"/>
  <c r="H25" i="12"/>
  <c r="H22" i="12"/>
  <c r="H26" i="12" s="1"/>
  <c r="G22" i="12"/>
  <c r="G26" i="12" s="1"/>
  <c r="G25" i="12"/>
  <c r="P22" i="12"/>
  <c r="P25" i="12"/>
  <c r="R25" i="12"/>
  <c r="R22" i="12"/>
  <c r="Q25" i="12"/>
  <c r="Q22" i="12"/>
  <c r="R28" i="1" l="1"/>
  <c r="G45" i="7"/>
  <c r="G42" i="7"/>
  <c r="G41" i="7"/>
  <c r="G48" i="7" s="1"/>
  <c r="G43" i="7"/>
  <c r="G44" i="7"/>
  <c r="H45" i="7"/>
  <c r="H44" i="7"/>
  <c r="H42" i="7"/>
  <c r="H43" i="7"/>
  <c r="H41" i="7"/>
  <c r="H48" i="7" s="1"/>
  <c r="H50" i="7" s="1"/>
  <c r="P28" i="1"/>
  <c r="I45" i="7"/>
  <c r="I42" i="7"/>
  <c r="I41" i="7"/>
  <c r="I48" i="7" s="1"/>
  <c r="I50" i="7" s="1"/>
  <c r="I44" i="7"/>
  <c r="I43" i="7"/>
  <c r="Q28" i="1"/>
  <c r="B44" i="7"/>
  <c r="B42" i="7"/>
  <c r="B41" i="7"/>
  <c r="B48" i="7" s="1"/>
  <c r="B50" i="7" s="1"/>
  <c r="B45" i="7"/>
  <c r="B43" i="7"/>
  <c r="N27" i="13"/>
  <c r="N28" i="13" s="1"/>
  <c r="C27" i="13"/>
  <c r="E28" i="13"/>
  <c r="B27" i="13"/>
  <c r="D28" i="13"/>
  <c r="L27" i="13"/>
  <c r="B28" i="13"/>
  <c r="I28" i="13"/>
  <c r="G27" i="13"/>
  <c r="I27" i="13"/>
  <c r="K28" i="13"/>
  <c r="J28" i="13"/>
  <c r="H27" i="13"/>
  <c r="H28" i="13"/>
  <c r="F27" i="13"/>
  <c r="M27" i="13"/>
  <c r="C28" i="13"/>
  <c r="E27" i="13"/>
  <c r="G28" i="13"/>
  <c r="D27" i="13"/>
  <c r="F28" i="13"/>
  <c r="M28" i="13"/>
  <c r="K27" i="13"/>
  <c r="L28" i="13"/>
  <c r="J27" i="13"/>
  <c r="AC27" i="12"/>
  <c r="AC28" i="12" s="1"/>
  <c r="H27" i="12"/>
  <c r="J28" i="12"/>
  <c r="H28" i="12"/>
  <c r="F27" i="12"/>
  <c r="D28" i="12"/>
  <c r="B27" i="12"/>
  <c r="AA27" i="12"/>
  <c r="B28" i="12"/>
  <c r="W27" i="12"/>
  <c r="Y28" i="12"/>
  <c r="C28" i="12"/>
  <c r="AB27" i="12"/>
  <c r="P28" i="12"/>
  <c r="N27" i="12"/>
  <c r="L27" i="12"/>
  <c r="N28" i="12"/>
  <c r="R28" i="12"/>
  <c r="P27" i="12"/>
  <c r="Z28" i="12"/>
  <c r="X27" i="12"/>
  <c r="V28" i="12"/>
  <c r="T27" i="12"/>
  <c r="Q28" i="12"/>
  <c r="O27" i="12"/>
  <c r="M27" i="12"/>
  <c r="O28" i="12"/>
  <c r="I27" i="12"/>
  <c r="K28" i="12"/>
  <c r="R27" i="12"/>
  <c r="T28" i="12"/>
  <c r="E28" i="12"/>
  <c r="C27" i="12"/>
  <c r="E27" i="12"/>
  <c r="G28" i="12"/>
  <c r="Y27" i="12"/>
  <c r="AA28" i="12"/>
  <c r="S27" i="12"/>
  <c r="U28" i="12"/>
  <c r="AB28" i="12"/>
  <c r="Z27" i="12"/>
  <c r="U27" i="12"/>
  <c r="W28" i="12"/>
  <c r="S28" i="12"/>
  <c r="Q27" i="12"/>
  <c r="K27" i="12"/>
  <c r="M28" i="12"/>
  <c r="J27" i="12"/>
  <c r="L28" i="12"/>
  <c r="V27" i="12"/>
  <c r="X28" i="12"/>
  <c r="G27" i="12"/>
  <c r="I28" i="12"/>
  <c r="D27" i="12"/>
  <c r="F28"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michael.fleetwood</author>
    <author>Home</author>
    <author>russell.w.scott</author>
  </authors>
  <commentList>
    <comment ref="A30" authorId="0" shapeId="0" xr:uid="{00000000-0006-0000-0200-000001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A73" authorId="1" shapeId="0" xr:uid="{00000000-0006-0000-0200-000002000000}">
      <text>
        <r>
          <rPr>
            <sz val="8"/>
            <color indexed="81"/>
            <rFont val="Tahoma"/>
            <family val="2"/>
          </rPr>
          <t>1 Standard Deviation based on performance Standard</t>
        </r>
      </text>
    </comment>
    <comment ref="A74" authorId="1" shapeId="0" xr:uid="{00000000-0006-0000-0200-000003000000}">
      <text>
        <r>
          <rPr>
            <sz val="8"/>
            <color indexed="81"/>
            <rFont val="Tahoma"/>
            <family val="2"/>
          </rPr>
          <t>.5 Standard Deviation based on performance Standard</t>
        </r>
      </text>
    </comment>
    <comment ref="E100" authorId="2" shapeId="0" xr:uid="{00000000-0006-0000-0200-000004000000}">
      <text>
        <r>
          <rPr>
            <b/>
            <sz val="8"/>
            <color indexed="81"/>
            <rFont val="Tahoma"/>
            <family val="2"/>
          </rPr>
          <t>russell.w.scott:</t>
        </r>
        <r>
          <rPr>
            <sz val="8"/>
            <color indexed="81"/>
            <rFont val="Tahoma"/>
            <family val="2"/>
          </rPr>
          <t xml:space="preserve">
SFARP</t>
        </r>
      </text>
    </comment>
    <comment ref="J100" authorId="2" shapeId="0" xr:uid="{00000000-0006-0000-0200-000005000000}">
      <text>
        <r>
          <rPr>
            <b/>
            <sz val="8"/>
            <color indexed="81"/>
            <rFont val="Tahoma"/>
            <family val="2"/>
          </rPr>
          <t>russell.w.scott:</t>
        </r>
        <r>
          <rPr>
            <sz val="8"/>
            <color indexed="81"/>
            <rFont val="Tahoma"/>
            <family val="2"/>
          </rPr>
          <t xml:space="preserve">
TSTA/FEP</t>
        </r>
      </text>
    </comment>
    <comment ref="K100" authorId="2" shapeId="0" xr:uid="{00000000-0006-0000-0200-000006000000}">
      <text>
        <r>
          <rPr>
            <b/>
            <sz val="8"/>
            <color indexed="81"/>
            <rFont val="Tahoma"/>
            <family val="2"/>
          </rPr>
          <t>russell.w.scott:</t>
        </r>
        <r>
          <rPr>
            <sz val="8"/>
            <color indexed="81"/>
            <rFont val="Tahoma"/>
            <family val="2"/>
          </rPr>
          <t xml:space="preserve">
C2X/Fallon</t>
        </r>
      </text>
    </comment>
    <comment ref="L100" authorId="2" shapeId="0" xr:uid="{00000000-0006-0000-0200-000007000000}">
      <text>
        <r>
          <rPr>
            <b/>
            <sz val="8"/>
            <color indexed="81"/>
            <rFont val="Tahoma"/>
            <family val="2"/>
          </rPr>
          <t>russell.w.scott:</t>
        </r>
        <r>
          <rPr>
            <sz val="8"/>
            <color indexed="81"/>
            <rFont val="Tahoma"/>
            <family val="2"/>
          </rPr>
          <t xml:space="preserve">
C2X/Fallon</t>
        </r>
      </text>
    </comment>
    <comment ref="M100" authorId="2" shapeId="0" xr:uid="{00000000-0006-0000-0200-000008000000}">
      <text>
        <r>
          <rPr>
            <b/>
            <sz val="8"/>
            <color indexed="81"/>
            <rFont val="Tahoma"/>
            <family val="2"/>
          </rPr>
          <t>russell.w.scott:</t>
        </r>
        <r>
          <rPr>
            <sz val="8"/>
            <color indexed="81"/>
            <rFont val="Tahoma"/>
            <family val="2"/>
          </rPr>
          <t xml:space="preserve">
C2X/Fallon</t>
        </r>
      </text>
    </comment>
    <comment ref="P100" authorId="2" shapeId="0" xr:uid="{00000000-0006-0000-0200-000009000000}">
      <text>
        <r>
          <rPr>
            <b/>
            <sz val="8"/>
            <color indexed="81"/>
            <rFont val="Tahoma"/>
            <family val="2"/>
          </rPr>
          <t>russell.w.scott:</t>
        </r>
        <r>
          <rPr>
            <sz val="8"/>
            <color indexed="81"/>
            <rFont val="Tahoma"/>
            <family val="2"/>
          </rPr>
          <t xml:space="preserve">
Pre-deployment at sea sustainment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michael.fleetwood</author>
    <author>Home</author>
  </authors>
  <commentList>
    <comment ref="C10" authorId="0" shapeId="0" xr:uid="{00000000-0006-0000-0300-000001000000}">
      <text>
        <r>
          <rPr>
            <b/>
            <sz val="8"/>
            <color indexed="81"/>
            <rFont val="Tahoma"/>
            <family val="2"/>
          </rPr>
          <t>michael.fleetwood:</t>
        </r>
        <r>
          <rPr>
            <sz val="8"/>
            <color indexed="81"/>
            <rFont val="Tahoma"/>
            <family val="2"/>
          </rPr>
          <t xml:space="preserve">
CNAL N40 confirmed this should be 22.1 vice 21.1</t>
        </r>
      </text>
    </comment>
    <comment ref="A30" authorId="0" shapeId="0" xr:uid="{00000000-0006-0000-0300-000002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A70" authorId="1" shapeId="0" xr:uid="{00000000-0006-0000-0300-000003000000}">
      <text>
        <r>
          <rPr>
            <sz val="8"/>
            <color indexed="81"/>
            <rFont val="Tahoma"/>
            <family val="2"/>
          </rPr>
          <t>1 Standard Deviation based on performance Standard</t>
        </r>
      </text>
    </comment>
    <comment ref="A71" authorId="1" shapeId="0" xr:uid="{00000000-0006-0000-0300-000004000000}">
      <text>
        <r>
          <rPr>
            <sz val="8"/>
            <color indexed="81"/>
            <rFont val="Tahoma"/>
            <family val="2"/>
          </rPr>
          <t>.5 Standard Deviation based on performance Standard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michael.fleetwood</author>
    <author>Home</author>
  </authors>
  <commentList>
    <comment ref="C10" authorId="0" shapeId="0" xr:uid="{00000000-0006-0000-0400-000001000000}">
      <text>
        <r>
          <rPr>
            <b/>
            <sz val="8"/>
            <color indexed="81"/>
            <rFont val="Tahoma"/>
            <family val="2"/>
          </rPr>
          <t>michael.fleetwood:</t>
        </r>
        <r>
          <rPr>
            <sz val="8"/>
            <color indexed="81"/>
            <rFont val="Tahoma"/>
            <family val="2"/>
          </rPr>
          <t xml:space="preserve">
CNAL N40 confirmed this should be 22.1 vice 21.1</t>
        </r>
      </text>
    </comment>
    <comment ref="A30" authorId="0" shapeId="0" xr:uid="{00000000-0006-0000-0400-000002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A73" authorId="1" shapeId="0" xr:uid="{00000000-0006-0000-0400-000003000000}">
      <text>
        <r>
          <rPr>
            <sz val="8"/>
            <color indexed="81"/>
            <rFont val="Tahoma"/>
            <family val="2"/>
          </rPr>
          <t>1 Standard Deviation based on performance Standard</t>
        </r>
      </text>
    </comment>
    <comment ref="A74" authorId="1" shapeId="0" xr:uid="{00000000-0006-0000-0400-000004000000}">
      <text>
        <r>
          <rPr>
            <sz val="8"/>
            <color indexed="81"/>
            <rFont val="Tahoma"/>
            <family val="2"/>
          </rPr>
          <t>.5 Standard Deviation based on performance Standard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michael.fleetwood</author>
    <author>Home</author>
    <author>russell.w.scott</author>
  </authors>
  <commentList>
    <comment ref="A30" authorId="0" shapeId="0" xr:uid="{00000000-0006-0000-0500-000001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A73" authorId="1" shapeId="0" xr:uid="{00000000-0006-0000-0500-000002000000}">
      <text>
        <r>
          <rPr>
            <sz val="8"/>
            <color indexed="81"/>
            <rFont val="Tahoma"/>
            <family val="2"/>
          </rPr>
          <t>1 Standard Deviation based on performance Standard</t>
        </r>
      </text>
    </comment>
    <comment ref="A74" authorId="1" shapeId="0" xr:uid="{00000000-0006-0000-0500-000003000000}">
      <text>
        <r>
          <rPr>
            <sz val="8"/>
            <color indexed="81"/>
            <rFont val="Tahoma"/>
            <family val="2"/>
          </rPr>
          <t>.5 Standard Deviation based on performance Standard</t>
        </r>
      </text>
    </comment>
    <comment ref="E100" authorId="2" shapeId="0" xr:uid="{00000000-0006-0000-0500-000004000000}">
      <text>
        <r>
          <rPr>
            <b/>
            <sz val="8"/>
            <color indexed="81"/>
            <rFont val="Tahoma"/>
            <family val="2"/>
          </rPr>
          <t>russell.w.scott:</t>
        </r>
        <r>
          <rPr>
            <sz val="8"/>
            <color indexed="81"/>
            <rFont val="Tahoma"/>
            <family val="2"/>
          </rPr>
          <t xml:space="preserve">
SFARP</t>
        </r>
      </text>
    </comment>
    <comment ref="J100" authorId="2" shapeId="0" xr:uid="{00000000-0006-0000-0500-000005000000}">
      <text>
        <r>
          <rPr>
            <b/>
            <sz val="8"/>
            <color indexed="81"/>
            <rFont val="Tahoma"/>
            <family val="2"/>
          </rPr>
          <t>russell.w.scott:</t>
        </r>
        <r>
          <rPr>
            <sz val="8"/>
            <color indexed="81"/>
            <rFont val="Tahoma"/>
            <family val="2"/>
          </rPr>
          <t xml:space="preserve">
TSTA/FEP</t>
        </r>
      </text>
    </comment>
    <comment ref="K100" authorId="2" shapeId="0" xr:uid="{00000000-0006-0000-0500-000006000000}">
      <text>
        <r>
          <rPr>
            <b/>
            <sz val="8"/>
            <color indexed="81"/>
            <rFont val="Tahoma"/>
            <family val="2"/>
          </rPr>
          <t>russell.w.scott:</t>
        </r>
        <r>
          <rPr>
            <sz val="8"/>
            <color indexed="81"/>
            <rFont val="Tahoma"/>
            <family val="2"/>
          </rPr>
          <t xml:space="preserve">
C2X/Fallon</t>
        </r>
      </text>
    </comment>
    <comment ref="L100" authorId="2" shapeId="0" xr:uid="{00000000-0006-0000-0500-000007000000}">
      <text>
        <r>
          <rPr>
            <b/>
            <sz val="8"/>
            <color indexed="81"/>
            <rFont val="Tahoma"/>
            <family val="2"/>
          </rPr>
          <t>russell.w.scott:</t>
        </r>
        <r>
          <rPr>
            <sz val="8"/>
            <color indexed="81"/>
            <rFont val="Tahoma"/>
            <family val="2"/>
          </rPr>
          <t xml:space="preserve">
C2X/Fallon</t>
        </r>
      </text>
    </comment>
    <comment ref="M100" authorId="2" shapeId="0" xr:uid="{00000000-0006-0000-0500-000008000000}">
      <text>
        <r>
          <rPr>
            <b/>
            <sz val="8"/>
            <color indexed="81"/>
            <rFont val="Tahoma"/>
            <family val="2"/>
          </rPr>
          <t>russell.w.scott:</t>
        </r>
        <r>
          <rPr>
            <sz val="8"/>
            <color indexed="81"/>
            <rFont val="Tahoma"/>
            <family val="2"/>
          </rPr>
          <t xml:space="preserve">
C2X/Fallon</t>
        </r>
      </text>
    </comment>
    <comment ref="P100" authorId="2" shapeId="0" xr:uid="{00000000-0006-0000-0500-000009000000}">
      <text>
        <r>
          <rPr>
            <b/>
            <sz val="8"/>
            <color indexed="81"/>
            <rFont val="Tahoma"/>
            <family val="2"/>
          </rPr>
          <t>russell.w.scott:</t>
        </r>
        <r>
          <rPr>
            <sz val="8"/>
            <color indexed="81"/>
            <rFont val="Tahoma"/>
            <family val="2"/>
          </rPr>
          <t xml:space="preserve">
Pre-deployment at sea sustainment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michael.fleetwood</author>
  </authors>
  <commentList>
    <comment ref="C5" authorId="0" shapeId="0" xr:uid="{00000000-0006-0000-0B00-000001000000}">
      <text>
        <r>
          <rPr>
            <b/>
            <sz val="8"/>
            <color indexed="81"/>
            <rFont val="Tahoma"/>
            <family val="2"/>
          </rPr>
          <t>michael.fleetwood:</t>
        </r>
        <r>
          <rPr>
            <sz val="8"/>
            <color indexed="81"/>
            <rFont val="Tahoma"/>
            <family val="2"/>
          </rPr>
          <t xml:space="preserve">
These are the Mission System Groupings taken from the MESM.  Each item corresponds to an EOC Code.</t>
        </r>
      </text>
    </comment>
    <comment ref="D5" authorId="0" shapeId="0" xr:uid="{00000000-0006-0000-0B00-000002000000}">
      <text>
        <r>
          <rPr>
            <b/>
            <sz val="8"/>
            <color indexed="81"/>
            <rFont val="Tahoma"/>
            <family val="2"/>
          </rPr>
          <t>michael.fleetwood:</t>
        </r>
        <r>
          <rPr>
            <sz val="8"/>
            <color indexed="81"/>
            <rFont val="Tahoma"/>
            <family val="2"/>
          </rPr>
          <t xml:space="preserve">
These items are integrated to the aircraft and describe the individual components in the Mission System Group</t>
        </r>
      </text>
    </comment>
    <comment ref="C57" authorId="0" shapeId="0" xr:uid="{00000000-0006-0000-0B00-000003000000}">
      <text>
        <r>
          <rPr>
            <b/>
            <sz val="8"/>
            <color indexed="81"/>
            <rFont val="Tahoma"/>
            <family val="2"/>
          </rPr>
          <t>michael.fleetwood:</t>
        </r>
        <r>
          <rPr>
            <sz val="8"/>
            <color indexed="81"/>
            <rFont val="Tahoma"/>
            <family val="2"/>
          </rPr>
          <t xml:space="preserve">
Non-Integrated Systems are those items that attatch to the aircraft and do not necessarily affect the Material Condition of the aircraft when removed.  i.e. TFLIR, LDT, CATM</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michael.fleetwood</author>
  </authors>
  <commentList>
    <comment ref="C5" authorId="0" shapeId="0" xr:uid="{00000000-0006-0000-0C00-000001000000}">
      <text>
        <r>
          <rPr>
            <b/>
            <sz val="8"/>
            <color indexed="81"/>
            <rFont val="Tahoma"/>
            <family val="2"/>
          </rPr>
          <t>michael.fleetwood:</t>
        </r>
        <r>
          <rPr>
            <sz val="8"/>
            <color indexed="81"/>
            <rFont val="Tahoma"/>
            <family val="2"/>
          </rPr>
          <t xml:space="preserve">
These are the Mission System Groupings taken from the MESM.  Each item corresponds to an EOC Code.</t>
        </r>
      </text>
    </comment>
    <comment ref="D5" authorId="0" shapeId="0" xr:uid="{00000000-0006-0000-0C00-000002000000}">
      <text>
        <r>
          <rPr>
            <b/>
            <sz val="8"/>
            <color indexed="81"/>
            <rFont val="Tahoma"/>
            <family val="2"/>
          </rPr>
          <t>michael.fleetwood:</t>
        </r>
        <r>
          <rPr>
            <sz val="8"/>
            <color indexed="81"/>
            <rFont val="Tahoma"/>
            <family val="2"/>
          </rPr>
          <t xml:space="preserve">
These items are integrated to the aircraft and describe the individual components in the Mission System Group</t>
        </r>
      </text>
    </comment>
    <comment ref="C53" authorId="0" shapeId="0" xr:uid="{00000000-0006-0000-0C00-000003000000}">
      <text>
        <r>
          <rPr>
            <b/>
            <sz val="8"/>
            <color indexed="81"/>
            <rFont val="Tahoma"/>
            <family val="2"/>
          </rPr>
          <t>michael.fleetwood:</t>
        </r>
        <r>
          <rPr>
            <sz val="8"/>
            <color indexed="81"/>
            <rFont val="Tahoma"/>
            <family val="2"/>
          </rPr>
          <t xml:space="preserve">
Non-Integrated Systems are those items that attatch to the aircraft and do not necessarily affect the Material Condition of the aircraft when removed.  i.e. TFLIR, LDT, CATM</t>
        </r>
      </text>
    </comment>
  </commentList>
</comments>
</file>

<file path=xl/sharedStrings.xml><?xml version="1.0" encoding="utf-8"?>
<sst xmlns="http://schemas.openxmlformats.org/spreadsheetml/2006/main" count="1240" uniqueCount="391">
  <si>
    <t>Standard Name</t>
  </si>
  <si>
    <t>ID</t>
  </si>
  <si>
    <t>Rev</t>
  </si>
  <si>
    <t>AMFOM</t>
  </si>
  <si>
    <t>Definitions</t>
  </si>
  <si>
    <t>Note:  'NEW' Standards are less than 90 Days old</t>
  </si>
  <si>
    <t>Date</t>
  </si>
  <si>
    <t>Standard</t>
  </si>
  <si>
    <t>Change Summary</t>
  </si>
  <si>
    <t>All Standards</t>
  </si>
  <si>
    <t>Initial DRRS-N Based Standards</t>
  </si>
  <si>
    <t>VAW E-2D CVW DRRS</t>
  </si>
  <si>
    <t>New Standard</t>
  </si>
  <si>
    <t>VAW E-2C CVW DRRS</t>
  </si>
  <si>
    <t>Updated FRS Entitlements</t>
  </si>
  <si>
    <t>All</t>
  </si>
  <si>
    <t>Added Simulator Support Hours</t>
  </si>
  <si>
    <t>VAW E-2D CVW DRRS(U)</t>
  </si>
  <si>
    <t>Updated Aircrew and Manning naming convetions and numbers to match 3 Apr 2013 T&amp;R</t>
  </si>
  <si>
    <t>VAW E-2C TSW DRRS(U)</t>
  </si>
  <si>
    <t>Deleted</t>
  </si>
  <si>
    <t>Updated 100% T&amp;R Hours and NFO ACTC values to match current T&amp;R</t>
  </si>
  <si>
    <t>Assigned and Ready ES Mission Systems set to N/A</t>
  </si>
  <si>
    <t>Correct R+5 and R+6 Labels from 'Basic' to 'Maintenance'</t>
  </si>
  <si>
    <t>Updated ATR</t>
  </si>
  <si>
    <t>Updated Aircrew and Manning numbers to match current T&amp;R</t>
  </si>
  <si>
    <t>VAW E2D FDNF DRRS(U)</t>
  </si>
  <si>
    <t>CVW Standards</t>
  </si>
  <si>
    <t>Changed POM and PDL RBA and Mission System requirements to match a typical Sustain month per Air Boss Direction</t>
  </si>
  <si>
    <t>VAW E-2C FDNF DRRS(U)</t>
  </si>
  <si>
    <t>Removed RBA/RFT and associated logic - Added Flightline % and  MC % Logic</t>
  </si>
  <si>
    <t>Added EOC L code: Ready IMC Flight Mission Systems (L), set equal to MC Standard</t>
  </si>
  <si>
    <t>FRS Standards moved to unique tab</t>
  </si>
  <si>
    <t>Added Squadron Manning standards: Rating Fit/Fill, NEC Fit, and MPR</t>
  </si>
  <si>
    <t>Updated AMFOM Standards to remove RBA and replace with MC and added EOC (L)</t>
  </si>
  <si>
    <t>E-2D</t>
  </si>
  <si>
    <t>Updated Mission Systems per new MESM dated 15 Apr 20</t>
  </si>
  <si>
    <t>All CVW (not FDNF)</t>
  </si>
  <si>
    <t>Changed R+10 to Adanced Phase</t>
  </si>
  <si>
    <t>E-2D FDNF</t>
  </si>
  <si>
    <t>Updated R+10-12 to 'Sustain'</t>
  </si>
  <si>
    <t>Updated to include FMC and Mission System values from ARC-N</t>
  </si>
  <si>
    <t>Updated 100% T&amp;R and Sim Fidelity</t>
  </si>
  <si>
    <t>Readiness Standards VAW E-2D Test</t>
  </si>
  <si>
    <t>New Standards</t>
  </si>
  <si>
    <t>Readiness Standards VAW E-2D CVW</t>
  </si>
  <si>
    <t>Inventory</t>
  </si>
  <si>
    <t>Rev:</t>
  </si>
  <si>
    <t>ID:</t>
  </si>
  <si>
    <t>PAA =</t>
  </si>
  <si>
    <t>Crew/Seat Ratio=</t>
  </si>
  <si>
    <t>Crews=</t>
  </si>
  <si>
    <t>ESL=</t>
  </si>
  <si>
    <t>100% T&amp;R Matrix=</t>
  </si>
  <si>
    <t>100% Training Hours=</t>
  </si>
  <si>
    <t>100% Training Sorties=</t>
  </si>
  <si>
    <t>Ashore Support Hours=</t>
  </si>
  <si>
    <t>Per Crew</t>
  </si>
  <si>
    <t>Tactical Hard Deck =</t>
  </si>
  <si>
    <t>Afloat Support Hours=</t>
  </si>
  <si>
    <t>Sim Fidelity %=</t>
  </si>
  <si>
    <t>Simulator Support Hours=</t>
  </si>
  <si>
    <t>FRTP Mode</t>
  </si>
  <si>
    <t>Maintenance</t>
  </si>
  <si>
    <t>Basic</t>
  </si>
  <si>
    <t>Advanced</t>
  </si>
  <si>
    <t>Integrated</t>
  </si>
  <si>
    <t xml:space="preserve">Sustain </t>
  </si>
  <si>
    <t>Deploy</t>
  </si>
  <si>
    <t>Sustain</t>
  </si>
  <si>
    <t>Tactical Hard Deck</t>
  </si>
  <si>
    <t>R+Month</t>
  </si>
  <si>
    <t>R+1</t>
  </si>
  <si>
    <t>R+2</t>
  </si>
  <si>
    <t>R+3</t>
  </si>
  <si>
    <t>R+4</t>
  </si>
  <si>
    <t>R+5</t>
  </si>
  <si>
    <t>R+6</t>
  </si>
  <si>
    <t>R+7</t>
  </si>
  <si>
    <t>R+8</t>
  </si>
  <si>
    <t>R+9</t>
  </si>
  <si>
    <t>R+10</t>
  </si>
  <si>
    <t>R+11</t>
  </si>
  <si>
    <t>R+12</t>
  </si>
  <si>
    <t>R+13</t>
  </si>
  <si>
    <t>R+14</t>
  </si>
  <si>
    <t>R+15</t>
  </si>
  <si>
    <t>POM</t>
  </si>
  <si>
    <t>D+1</t>
  </si>
  <si>
    <t>D+2</t>
  </si>
  <si>
    <t>D+3</t>
  </si>
  <si>
    <t>D+4</t>
  </si>
  <si>
    <t>D+5</t>
  </si>
  <si>
    <t>D+6</t>
  </si>
  <si>
    <t>R+24</t>
  </si>
  <si>
    <t>R+25</t>
  </si>
  <si>
    <t>R+26</t>
  </si>
  <si>
    <t>R+27</t>
  </si>
  <si>
    <t>R+28</t>
  </si>
  <si>
    <t>FRTP</t>
  </si>
  <si>
    <t>Mission</t>
  </si>
  <si>
    <t>Unit Level Trng &amp; Depot Maint</t>
  </si>
  <si>
    <t>ARP to TSTA III</t>
  </si>
  <si>
    <t>C2X to FLN</t>
  </si>
  <si>
    <t>Deployment</t>
  </si>
  <si>
    <t>THD</t>
  </si>
  <si>
    <t>Training Resource Elements</t>
  </si>
  <si>
    <t>Average Training Readiness (ATR) Standard</t>
  </si>
  <si>
    <t>% of T&amp;R Matrix</t>
  </si>
  <si>
    <t>Flying Hours</t>
  </si>
  <si>
    <t>Training Sortie Standard</t>
  </si>
  <si>
    <t>Training Hours Standard</t>
  </si>
  <si>
    <t>Ashore Support Hours Total</t>
  </si>
  <si>
    <t>Afloat Support Hours Total</t>
  </si>
  <si>
    <t>Total Hours Standard</t>
  </si>
  <si>
    <t>Simulator Contribution</t>
  </si>
  <si>
    <t>Allocated Flight Hours</t>
  </si>
  <si>
    <t>Flight Hour Execution Standard (90 Day Avg)</t>
  </si>
  <si>
    <t>Simulator Hours</t>
  </si>
  <si>
    <t>Simulator Support Hours</t>
  </si>
  <si>
    <t>Aircraft Standards</t>
  </si>
  <si>
    <t>Flightline %</t>
  </si>
  <si>
    <t>MC %</t>
  </si>
  <si>
    <t>FMC%</t>
  </si>
  <si>
    <t>Flightline Standard</t>
  </si>
  <si>
    <t>MC Standard</t>
  </si>
  <si>
    <t>FMC Standard</t>
  </si>
  <si>
    <t>Integrated Mission Systems</t>
  </si>
  <si>
    <t>Ready E-2D Air Defense Mission Systems (C)</t>
  </si>
  <si>
    <t>Ready E-2D Advanced Navigation Systems (D)</t>
  </si>
  <si>
    <t>Ready E-2D Electronic Warfare Mission Systems (E)</t>
  </si>
  <si>
    <t>Ready E-2D Tactical Communication Mission Systems (F)</t>
  </si>
  <si>
    <t>Ready E-2D Aerial Refueling Mission Systems (G)</t>
  </si>
  <si>
    <t>Ready E-2D Basic ACC Mission Systems (J)</t>
  </si>
  <si>
    <t>Ready E-2D Shipboard Mission Systems (K)</t>
  </si>
  <si>
    <t>Ready E-2D IMC Flight Mission Systems (L)</t>
  </si>
  <si>
    <t>Aircrew Manning and Crews</t>
  </si>
  <si>
    <t>Pilot Upper Limit</t>
  </si>
  <si>
    <t>Pilot Lower Limit</t>
  </si>
  <si>
    <t>NFO Upper Limit</t>
  </si>
  <si>
    <t>NFO Lower Limit</t>
  </si>
  <si>
    <t>Squadron Manning</t>
  </si>
  <si>
    <t>Overall Rating Fill</t>
  </si>
  <si>
    <t>Overall Rating Fit</t>
  </si>
  <si>
    <t>Overall NEC Fit</t>
  </si>
  <si>
    <t>Range of Performance Values - Do Not Modify - (Use these values to establish performance cutoffs)</t>
  </si>
  <si>
    <t>UCL (Red Above)</t>
  </si>
  <si>
    <t>UCL (Yellow Above)</t>
  </si>
  <si>
    <t>Training Readiness Standard</t>
  </si>
  <si>
    <t>LCL (Yellow Below)</t>
  </si>
  <si>
    <t>LCL (Red Below)</t>
  </si>
  <si>
    <t>Ef Crew Expectation Profile</t>
  </si>
  <si>
    <t>U/L CL Max:</t>
  </si>
  <si>
    <t>U/L CL Min:</t>
  </si>
  <si>
    <t>CBM Matrix Ef Values - Do Not Modify</t>
  </si>
  <si>
    <t>Trained Manpower and Crews</t>
  </si>
  <si>
    <t>&gt;= L4 Pilot</t>
  </si>
  <si>
    <t>&gt;= L3 Pilot</t>
  </si>
  <si>
    <t>&gt;= L2 Pilot</t>
  </si>
  <si>
    <t>&gt;= L1 Pilot</t>
  </si>
  <si>
    <t>&gt;= L4 NFO</t>
  </si>
  <si>
    <t>&gt;= L3 NFO</t>
  </si>
  <si>
    <t>&gt;= L2 NFO</t>
  </si>
  <si>
    <t>&gt;= L1 NFO</t>
  </si>
  <si>
    <t>&gt;=JMPS SME</t>
  </si>
  <si>
    <t># Skilled Crews</t>
  </si>
  <si>
    <t>Monthly Variable Hours Assignments</t>
  </si>
  <si>
    <t>Simulator Replacement Month</t>
  </si>
  <si>
    <t>X</t>
  </si>
  <si>
    <t>Afloat Support Hours Assignment</t>
  </si>
  <si>
    <t>DRRS-N E-Pillar Break Points</t>
  </si>
  <si>
    <t>Green</t>
  </si>
  <si>
    <t>Yellow</t>
  </si>
  <si>
    <t>Red</t>
  </si>
  <si>
    <t>Top</t>
  </si>
  <si>
    <t>Aircraft</t>
  </si>
  <si>
    <t>In Reporting</t>
  </si>
  <si>
    <t>Mission Capable Aircraft (MC)</t>
  </si>
  <si>
    <t>FMC and Mission System Utilization Rates</t>
  </si>
  <si>
    <t>E-2D 5PAA AR v220921</t>
  </si>
  <si>
    <t>FMC % of MC</t>
  </si>
  <si>
    <t>Readiness Standards VAW E-2C FDNF</t>
  </si>
  <si>
    <t>Operating PAA =</t>
  </si>
  <si>
    <t>(Full PAA is 5, fifth aircraft is shoretail asset)</t>
  </si>
  <si>
    <t>ULT</t>
  </si>
  <si>
    <t>Surge %</t>
  </si>
  <si>
    <t>Flightline (Sorties) %</t>
  </si>
  <si>
    <t>Flightline (Training Readiness Standard) %</t>
  </si>
  <si>
    <t>RFT %</t>
  </si>
  <si>
    <t>Surge Aircraft Standard</t>
  </si>
  <si>
    <t>RFT/RBA Standard</t>
  </si>
  <si>
    <t>Ready Advanced Navigation Systems</t>
  </si>
  <si>
    <t>Ready Electronic Warfare Mission Systems (HE2K ONLY)</t>
  </si>
  <si>
    <t>Ready Tactical Communication Mission Systems</t>
  </si>
  <si>
    <t>Ready Basic ACC Mission Systems</t>
  </si>
  <si>
    <t>Ready Shipboard Mission Systems</t>
  </si>
  <si>
    <t>Assigned CEC Mission Sets (HE2K ONLY)</t>
  </si>
  <si>
    <t>Ready CEC Mission Sets (HE2K ONLY)</t>
  </si>
  <si>
    <t xml:space="preserve">Assigned ES Mission Sets </t>
  </si>
  <si>
    <t>Ready ES Mission Sets</t>
  </si>
  <si>
    <t>driver</t>
  </si>
  <si>
    <t>exception</t>
  </si>
  <si>
    <t>Ready Basic Aircraft System
(RBA)</t>
  </si>
  <si>
    <t>Non-Integrated Mission Systems</t>
  </si>
  <si>
    <t>Percent Funding for Flying Hours</t>
  </si>
  <si>
    <t>SORTS Average M-Rating</t>
  </si>
  <si>
    <t>Calculated TFOM Readiness for CVW</t>
  </si>
  <si>
    <t>DRRS Conversion directly from SORTS</t>
  </si>
  <si>
    <t>Conversion numbers for SORTS to DRRS to Drive Manning</t>
  </si>
  <si>
    <t>Readiness Standards VAW E-2D FDNF</t>
  </si>
  <si>
    <t>E-2D 5PAA FDNF v220921</t>
  </si>
  <si>
    <t>Readiness Standards VAW E-2C CVW</t>
  </si>
  <si>
    <t>Ready E-2C Advanced Navigation Systems (D)</t>
  </si>
  <si>
    <t>Ready E-2C Electronic Warfare Mission Systems (E) (HE2K ONLY)</t>
  </si>
  <si>
    <t>Ready E-2C Tactical Communication Mission Systems (F)</t>
  </si>
  <si>
    <t>Ready E-2C Basic ACC Mission Systems (J)</t>
  </si>
  <si>
    <t>Ready E-2C Shipboard Mission Systems (K)</t>
  </si>
  <si>
    <t>Ready E-2C IMC Flight Mission Systems (L)</t>
  </si>
  <si>
    <t>E-2C HE2K 4PAA v220921</t>
  </si>
  <si>
    <t>Readiness Standards VAW E-2C-D FRS</t>
  </si>
  <si>
    <t>E-2C</t>
  </si>
  <si>
    <t>VAW-120 PAA =</t>
  </si>
  <si>
    <t>FRS</t>
  </si>
  <si>
    <t>A-1</t>
  </si>
  <si>
    <t>A-2</t>
  </si>
  <si>
    <t>NA</t>
  </si>
  <si>
    <t>FMC %</t>
  </si>
  <si>
    <t>VAW-120</t>
  </si>
  <si>
    <t>PAA</t>
  </si>
  <si>
    <t>Unit</t>
  </si>
  <si>
    <t>VX-1</t>
  </si>
  <si>
    <t>VX-20</t>
  </si>
  <si>
    <t>VX-30</t>
  </si>
  <si>
    <t>Test</t>
  </si>
  <si>
    <t>A+1</t>
  </si>
  <si>
    <t>TEST</t>
  </si>
  <si>
    <t>TMS</t>
  </si>
  <si>
    <t>Navy E-2C (All) TMS Reduced MET to Mission System Map</t>
  </si>
  <si>
    <t>Ready Advanced Navigation Systems (D)</t>
  </si>
  <si>
    <t>Ready Electronic Warfare Mission Systems (E) (HE2K ONLY)</t>
  </si>
  <si>
    <t>Ready Tactical Communication Mission Systems (F)</t>
  </si>
  <si>
    <t>Ready Basic ACC Mission Systems (J)</t>
  </si>
  <si>
    <t>Ready Shipboard Mission Systems (K)</t>
  </si>
  <si>
    <t>Ready IMC Flight Mission Systems (L)</t>
  </si>
  <si>
    <t>Assigned ES Mission Sets</t>
  </si>
  <si>
    <t>MISSION ESSENTIAL TASKS</t>
  </si>
  <si>
    <t>NTA 1.1.2.3.3</t>
  </si>
  <si>
    <t>Conduct Flight Operations</t>
  </si>
  <si>
    <t>NTA 1.2.1.2.</t>
  </si>
  <si>
    <t>Conduct Airspace Management and Control</t>
  </si>
  <si>
    <t>NTA 2.2.3</t>
  </si>
  <si>
    <t>Perform Tactical Reconnaissance and Surveillance</t>
  </si>
  <si>
    <t>NTA 3.1.1</t>
  </si>
  <si>
    <t>Request Attack</t>
  </si>
  <si>
    <t>NTA 3.2.3</t>
  </si>
  <si>
    <t>Attack Enemy Aircraft and Missiles (Offensive Counter Air)</t>
  </si>
  <si>
    <t>NTA 3.2.7</t>
  </si>
  <si>
    <t>Intercept, Engage, Neutralize Enemy Aircraft and Missiles (Defensive Counter Air)</t>
  </si>
  <si>
    <t>NTA 3.2.10</t>
  </si>
  <si>
    <t>Integrate Tactical Fires</t>
  </si>
  <si>
    <t>NTA 5.1.3.1</t>
  </si>
  <si>
    <t>Maintain and Display Tactical Picture</t>
  </si>
  <si>
    <t>NTA 5.4.1.2</t>
  </si>
  <si>
    <t>Exercise Tactical Command and Control</t>
  </si>
  <si>
    <t>NTA 6.2</t>
  </si>
  <si>
    <t>Rescue and Recover</t>
  </si>
  <si>
    <t>Mission Systems</t>
  </si>
  <si>
    <t>Navy E-2D TMS Reduced MET to Mission System Map</t>
  </si>
  <si>
    <t>Ready Air Defense Mission Systems (C)</t>
  </si>
  <si>
    <t>Ready Electronic Warfare Mission Systems (E)</t>
  </si>
  <si>
    <t>Ready Aerial Refueling Mission Systems (G)</t>
  </si>
  <si>
    <t xml:space="preserve">Conduct Flight Operations </t>
  </si>
  <si>
    <t>NTA 4.2.1.2</t>
  </si>
  <si>
    <t>Conduct Aerial Refueling</t>
  </si>
  <si>
    <t>E-2C/D Mission System Utilization per Flight Task</t>
  </si>
  <si>
    <t>E-2D 5PAA v220921</t>
  </si>
  <si>
    <t>E-2C Mission System Utilization per Flight Task</t>
  </si>
  <si>
    <t>FMCAR % of MCAR</t>
  </si>
  <si>
    <t>Ready E-2C Advance Navigation Systems (D)</t>
  </si>
  <si>
    <t>Ready E-2C Electronic Warfare Mission System (E)</t>
  </si>
  <si>
    <t>Tab Inventory</t>
  </si>
  <si>
    <t>Mission System Groups VAW E-2C</t>
  </si>
  <si>
    <t>** MESM:</t>
  </si>
  <si>
    <t>Integrated Aircraft Mission Systems Configuration</t>
  </si>
  <si>
    <t>COMMUNITY</t>
  </si>
  <si>
    <t>TMS AFFECTED</t>
  </si>
  <si>
    <t>Mission System Group</t>
  </si>
  <si>
    <t xml:space="preserve">COMPONENTS/SYSTEMS/ MESM CODES </t>
  </si>
  <si>
    <t>VAW</t>
  </si>
  <si>
    <t>Ready CEC Systems (HE2K Only)</t>
  </si>
  <si>
    <t>COOPERATIVE ENGAGEMENT CAPABILITY (CEC)</t>
  </si>
  <si>
    <t>HAVEQUICK BCD</t>
  </si>
  <si>
    <t xml:space="preserve">AACS (AN/ARA-63) AUTOMATIC APPROCH CONTROL SYSTEM </t>
  </si>
  <si>
    <t>ACLS (AN/ASW-25) AUTOMATIC CARRIER LANDING SYSTEM</t>
  </si>
  <si>
    <t>GLOBAL POSITIONING SYSTEM (GPS)</t>
  </si>
  <si>
    <t>INTEGRATED HAND CONTROLLER</t>
  </si>
  <si>
    <t>MAGNOTOMETER</t>
  </si>
  <si>
    <t>SAFCS</t>
  </si>
  <si>
    <t>EGI (1 OF 2 FAILED)</t>
  </si>
  <si>
    <t>INS (1 OF 2 FAILED)</t>
  </si>
  <si>
    <t>STORM SCOPE</t>
  </si>
  <si>
    <t>Ready Electronic Warfare Mission Systems (HE2K Only)</t>
  </si>
  <si>
    <t>ESM SUITE (ALQ-217)</t>
  </si>
  <si>
    <t xml:space="preserve">ANDVT </t>
  </si>
  <si>
    <t>HF COMMUNICATION SYSTEM (MINIMUM OF ONE)</t>
  </si>
  <si>
    <t xml:space="preserve">LINK 4 </t>
  </si>
  <si>
    <t xml:space="preserve">LINK 11 </t>
  </si>
  <si>
    <t>LINK 16 (JTIDS)</t>
  </si>
  <si>
    <t>MFCDU (CIC)</t>
  </si>
  <si>
    <t xml:space="preserve">SATCOM </t>
  </si>
  <si>
    <t>SECURE VOICE</t>
  </si>
  <si>
    <t>UHF RADIOS</t>
  </si>
  <si>
    <t>Ready ES Mission Systems</t>
  </si>
  <si>
    <t>ES-608</t>
  </si>
  <si>
    <t>CIC TACTICAL DISPLAYS</t>
  </si>
  <si>
    <t>ANTENNA GROUP ROTODOME (OE-335A/A) AND ROTATION</t>
  </si>
  <si>
    <t>IFF INTERROGATION SYSTEM</t>
  </si>
  <si>
    <t>IFF TRANSPONDER MODE 4/5</t>
  </si>
  <si>
    <t>CIC MFCDU</t>
  </si>
  <si>
    <t>MISSION COMPUTER</t>
  </si>
  <si>
    <t xml:space="preserve">RADAR SYSTEM </t>
  </si>
  <si>
    <t xml:space="preserve">VAPOR CYCLE </t>
  </si>
  <si>
    <t>AIS</t>
  </si>
  <si>
    <t xml:space="preserve">AOA SYSTEM </t>
  </si>
  <si>
    <t xml:space="preserve">APPROACH LIGHTS </t>
  </si>
  <si>
    <t xml:space="preserve">ARRESTING HOOK </t>
  </si>
  <si>
    <t xml:space="preserve">CATAPULT SYSTEM </t>
  </si>
  <si>
    <t xml:space="preserve">RADAR ALTIMETER </t>
  </si>
  <si>
    <t xml:space="preserve">WING FOLD SYSTEM </t>
  </si>
  <si>
    <t>ANTI-ICE / DE-ICE SYSTEMS</t>
  </si>
  <si>
    <t>EXTERNAL LIGHTING (LESS APPROACH LIGHTS)</t>
  </si>
  <si>
    <t>FULL COCKPIT FLIGHT INSTRUMENTS</t>
  </si>
  <si>
    <t>CONTROL DISPLAY UNIT (1 OF 2 FAILED)</t>
  </si>
  <si>
    <t>DISPLAY CONTROL PANEL (1 OF 2 FAILED)</t>
  </si>
  <si>
    <t>ELECTRONIC STANDBY INDICATOR (1 OF 2 FAILED)</t>
  </si>
  <si>
    <t>IFF TRANSPONDER (MODE III AND C)</t>
  </si>
  <si>
    <t>IFF TRANSPONDER (MODE S)</t>
  </si>
  <si>
    <t>INTERNAL COCKPIT LIGHTING</t>
  </si>
  <si>
    <t>MULTIFUNCTION DISPLAY (1 OF 2 FAILED)</t>
  </si>
  <si>
    <t>TACAN / JTIDS DPG OR R/T</t>
  </si>
  <si>
    <t>VOR/ILS (AVC-5229 AND AFC-476 INSTALLED)</t>
  </si>
  <si>
    <t>WINDSHIELD WIPER SYSTEM</t>
  </si>
  <si>
    <t>See Definitions Tab</t>
  </si>
  <si>
    <t>Non-Integrated Mission Systems (INVENTORY ITEMS)</t>
  </si>
  <si>
    <t>Mission Systems TOOLS TITLES</t>
  </si>
  <si>
    <t>CONFIGURATIONS THAT APPLY</t>
  </si>
  <si>
    <t>** See the MESM for full details</t>
  </si>
  <si>
    <t>Mission System Groups VAW E-2D</t>
  </si>
  <si>
    <t>COOPERATVE ENGAGEMENT CAPABILITY (CEC)</t>
  </si>
  <si>
    <t>TOWED AUXILIARY RECEIVER ARRAY (TARA)</t>
  </si>
  <si>
    <t>Ready Advanced Navigation (RAN) Systems ( D)</t>
  </si>
  <si>
    <t>AACS (AN/ARA-63) AUTOMATIC APPROACH CONTROL SYSTEM</t>
  </si>
  <si>
    <t>ACLS AUTOMATIC CARRIER LANDING SYSTEM (V/UHF-2)</t>
  </si>
  <si>
    <t>Ready Electronic Warfare Mission (EW) Systems (E)</t>
  </si>
  <si>
    <t>ESM SUITE (ALQ-217B)</t>
  </si>
  <si>
    <t>HF COMMUNICATION SYSTEM (SRT-470/E2)</t>
  </si>
  <si>
    <t>LINK 16 (MIDS)</t>
  </si>
  <si>
    <t>SECURE VOICE (3 REQUIRED)</t>
  </si>
  <si>
    <t>V/UHF RADIOS</t>
  </si>
  <si>
    <t>AERIAL REFUELING SYSTEM</t>
  </si>
  <si>
    <t>AUXILIARY STABILITY AUGMENTATION MODE (AUX SAS)</t>
  </si>
  <si>
    <t>MA-2/CONTROL BREAK POINT</t>
  </si>
  <si>
    <t>AR PROBE LIGHT</t>
  </si>
  <si>
    <t>FORMATION LIGHTS</t>
  </si>
  <si>
    <t>JOIN-UP LIGHTS</t>
  </si>
  <si>
    <t>ANTENNA GROUP (OE-585/A) AND ROTODOME MECHANCIAL SYSTEM</t>
  </si>
  <si>
    <t>CIC CDU'S</t>
  </si>
  <si>
    <t>IFF TRANSPONDER SYSTEM (MODE 4/5)</t>
  </si>
  <si>
    <t>LIQUID COOLING SYSTEM</t>
  </si>
  <si>
    <t>MISSION COMPUTER AND DISPLAYS (MCD)</t>
  </si>
  <si>
    <t>NFS-1</t>
  </si>
  <si>
    <t>NFS-2</t>
  </si>
  <si>
    <t>RADAR PRESSURIZATION &amp; COOLING SYSTEM (RPCS)</t>
  </si>
  <si>
    <t>RADAR SYSTEMS</t>
  </si>
  <si>
    <t>VAPOR CYCLE</t>
  </si>
  <si>
    <t>AIR DATA SYSTEMS (SMART PROBES)(1  OF 2 FAILED)</t>
  </si>
  <si>
    <t>APPROACH LIGHTS</t>
  </si>
  <si>
    <t>CATAPULT SYSTEM</t>
  </si>
  <si>
    <t>RADAR ALTIMETER</t>
  </si>
  <si>
    <t>TACAN</t>
  </si>
  <si>
    <t>WING FOLD SYSTEM</t>
  </si>
  <si>
    <t>BACKUP FLIGHT DISPLAY (BFD) (1 OF 2 FAILED)</t>
  </si>
  <si>
    <t>DCP/AUX DCP</t>
  </si>
  <si>
    <t>EXTERNAL LIGHTING (LESS APPROACH LIGHTS AND AR LIGHTS)</t>
  </si>
  <si>
    <t>FLIGHT REFERENCE (EGI)</t>
  </si>
  <si>
    <t>IFF TRANSPONDER (MODE III/C AND MODE S)</t>
  </si>
  <si>
    <t>NAVIGATION SUITE</t>
  </si>
  <si>
    <t>PRIMARY FLIGHT DISPLAY (1 OF 3 FAILED)</t>
  </si>
  <si>
    <t>Item</t>
  </si>
  <si>
    <t>Definition</t>
  </si>
  <si>
    <t>Mission Capable (MC) is defined in reference (e).  MC is a “Material condition of an aircraft that can perform at least one and potentially all of its missions. MC Hours = EIS Hours - NMC Hours.”  MC in this sense is not used in this document, but describes its current status as on the moment it was reported in the AMSRRWeb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</si>
</sst>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409]d\-mmm\-yy;@"/>
    <numFmt numFmtId="165" formatCode="0.0"/>
    <numFmt numFmtId="166" formatCode="_(* #,##0.0_);_(* \(#,##0.0\);_(* &quot;-&quot;??_);_(@_)"/>
    <numFmt numFmtId="167" formatCode="0.0%"/>
    <numFmt numFmtId="168" formatCode="0.000"/>
  </numFmts>
  <fonts count="58" x14ac:knownFonts="1">
    <font>
      <sz val="10"/>
      <name val="Arial"/>
      <family val="2"/>
    </font>
    <font>
      <sz val="11"/>
      <color theme="1"/>
      <name val="Calibri"/>
      <family val="2"/>
      <scheme val="minor"/>
    </font>
    <font>
      <sz val="11"/>
      <color theme="1"/>
      <name val="Calibri"/>
      <family val="2"/>
      <scheme val="minor"/>
    </font>
    <font>
      <sz val="10"/>
      <name val="Arial"/>
      <family val="2"/>
    </font>
    <font>
      <sz val="10"/>
      <name val="Courier New"/>
      <family val="3"/>
    </font>
    <font>
      <sz val="8"/>
      <name val="Arial"/>
      <family val="2"/>
    </font>
    <font>
      <b/>
      <sz val="8"/>
      <color indexed="81"/>
      <name val="Tahoma"/>
      <family val="2"/>
    </font>
    <font>
      <sz val="8"/>
      <color indexed="81"/>
      <name val="Tahoma"/>
      <family val="2"/>
    </font>
    <font>
      <sz val="9"/>
      <name val="Calibri"/>
      <family val="2"/>
      <scheme val="minor"/>
    </font>
    <font>
      <sz val="8"/>
      <name val="Calibri"/>
      <family val="2"/>
      <scheme val="minor"/>
    </font>
    <font>
      <b/>
      <i/>
      <sz val="10"/>
      <name val="Calibri"/>
      <family val="2"/>
      <scheme val="minor"/>
    </font>
    <font>
      <sz val="9"/>
      <color indexed="63"/>
      <name val="Calibri"/>
      <family val="2"/>
      <scheme val="minor"/>
    </font>
    <font>
      <b/>
      <sz val="9"/>
      <name val="Calibri"/>
      <family val="2"/>
      <scheme val="minor"/>
    </font>
    <font>
      <u/>
      <sz val="10"/>
      <color theme="10"/>
      <name val="Calibri"/>
      <family val="2"/>
      <scheme val="minor"/>
    </font>
    <font>
      <u/>
      <sz val="11"/>
      <color theme="10"/>
      <name val="Calibri"/>
      <family val="2"/>
      <scheme val="minor"/>
    </font>
    <font>
      <sz val="11"/>
      <name val="Calibri"/>
      <family val="2"/>
      <scheme val="minor"/>
    </font>
    <font>
      <b/>
      <i/>
      <sz val="11"/>
      <color rgb="FF00CC00"/>
      <name val="Calibri"/>
      <family val="2"/>
      <scheme val="minor"/>
    </font>
    <font>
      <b/>
      <i/>
      <sz val="11"/>
      <color theme="1"/>
      <name val="Calibri"/>
      <family val="2"/>
      <scheme val="minor"/>
    </font>
    <font>
      <b/>
      <i/>
      <sz val="11"/>
      <name val="Calibri"/>
      <family val="2"/>
      <scheme val="minor"/>
    </font>
    <font>
      <b/>
      <sz val="11"/>
      <name val="Calibri"/>
      <family val="2"/>
      <scheme val="minor"/>
    </font>
    <font>
      <b/>
      <sz val="14"/>
      <name val="Calibri"/>
      <family val="2"/>
      <scheme val="minor"/>
    </font>
    <font>
      <sz val="14"/>
      <name val="Calibri"/>
      <family val="2"/>
      <scheme val="minor"/>
    </font>
    <font>
      <sz val="8"/>
      <color indexed="55"/>
      <name val="Calibri"/>
      <family val="2"/>
      <scheme val="minor"/>
    </font>
    <font>
      <sz val="9"/>
      <color indexed="8"/>
      <name val="Calibri"/>
      <family val="2"/>
      <scheme val="minor"/>
    </font>
    <font>
      <b/>
      <i/>
      <sz val="9"/>
      <name val="Calibri"/>
      <family val="2"/>
      <scheme val="minor"/>
    </font>
    <font>
      <b/>
      <sz val="8"/>
      <color indexed="12"/>
      <name val="Calibri"/>
      <family val="2"/>
      <scheme val="minor"/>
    </font>
    <font>
      <sz val="10"/>
      <name val="Arial"/>
      <family val="2"/>
    </font>
    <font>
      <u/>
      <sz val="10"/>
      <color theme="10"/>
      <name val="Arial"/>
      <family val="2"/>
    </font>
    <font>
      <b/>
      <sz val="16"/>
      <color rgb="FFFF0000"/>
      <name val="Calibri"/>
      <family val="2"/>
      <scheme val="minor"/>
    </font>
    <font>
      <sz val="10"/>
      <name val="Arial"/>
      <family val="2"/>
    </font>
    <font>
      <b/>
      <sz val="12"/>
      <name val="Arial"/>
      <family val="2"/>
    </font>
    <font>
      <b/>
      <sz val="10"/>
      <name val="Arial"/>
      <family val="2"/>
    </font>
    <font>
      <b/>
      <sz val="8"/>
      <name val="Arial"/>
      <family val="2"/>
    </font>
    <font>
      <u/>
      <sz val="11"/>
      <color theme="10"/>
      <name val="Calibri"/>
      <family val="2"/>
    </font>
    <font>
      <u/>
      <sz val="14"/>
      <color theme="10"/>
      <name val="Calibri"/>
      <family val="2"/>
      <scheme val="minor"/>
    </font>
    <font>
      <sz val="10"/>
      <name val="Calibri"/>
      <family val="2"/>
      <scheme val="minor"/>
    </font>
    <font>
      <b/>
      <sz val="10"/>
      <name val="Calibri"/>
      <family val="2"/>
      <scheme val="minor"/>
    </font>
    <font>
      <b/>
      <sz val="16"/>
      <name val="Calibri"/>
      <family val="2"/>
      <scheme val="minor"/>
    </font>
    <font>
      <b/>
      <sz val="12"/>
      <name val="Calibri"/>
      <family val="2"/>
      <scheme val="minor"/>
    </font>
    <font>
      <b/>
      <sz val="8"/>
      <name val="Calibri"/>
      <family val="2"/>
      <scheme val="minor"/>
    </font>
    <font>
      <u/>
      <sz val="10"/>
      <color indexed="12"/>
      <name val="Arial"/>
      <family val="2"/>
    </font>
    <font>
      <u/>
      <sz val="10"/>
      <color indexed="12"/>
      <name val="Calibri"/>
      <family val="2"/>
      <scheme val="minor"/>
    </font>
    <font>
      <sz val="11"/>
      <color theme="1"/>
      <name val="Calibri"/>
      <family val="2"/>
      <scheme val="minor"/>
    </font>
    <font>
      <sz val="12"/>
      <name val="Calibri"/>
      <family val="2"/>
      <scheme val="minor"/>
    </font>
    <font>
      <b/>
      <sz val="8"/>
      <color indexed="55"/>
      <name val="Calibri"/>
      <family val="2"/>
      <scheme val="minor"/>
    </font>
    <font>
      <sz val="11"/>
      <name val="Calibri"/>
      <family val="2"/>
    </font>
    <font>
      <u/>
      <sz val="14"/>
      <color theme="10"/>
      <name val="Calibri"/>
      <family val="2"/>
    </font>
    <font>
      <b/>
      <sz val="11"/>
      <color theme="1"/>
      <name val="Calibri"/>
      <family val="2"/>
      <scheme val="minor"/>
    </font>
    <font>
      <b/>
      <sz val="12"/>
      <color theme="1"/>
      <name val="Calibri"/>
      <family val="2"/>
      <scheme val="minor"/>
    </font>
    <font>
      <u/>
      <sz val="10"/>
      <color theme="10"/>
      <name val="Calibri"/>
      <family val="2"/>
    </font>
    <font>
      <sz val="8"/>
      <name val="Calibri"/>
      <family val="2"/>
    </font>
    <font>
      <b/>
      <sz val="14"/>
      <color theme="1"/>
      <name val="Calibri"/>
      <family val="2"/>
      <scheme val="minor"/>
    </font>
    <font>
      <u/>
      <sz val="9"/>
      <color theme="10"/>
      <name val="Calibri"/>
      <family val="2"/>
      <scheme val="minor"/>
    </font>
    <font>
      <b/>
      <sz val="11"/>
      <name val="Arial"/>
      <family val="2"/>
    </font>
    <font>
      <b/>
      <sz val="14"/>
      <name val="Arial"/>
      <family val="2"/>
    </font>
    <font>
      <b/>
      <sz val="10"/>
      <color indexed="8"/>
      <name val="Arial"/>
      <family val="2"/>
    </font>
    <font>
      <b/>
      <sz val="10"/>
      <color theme="1"/>
      <name val="Arial"/>
      <family val="2"/>
    </font>
    <font>
      <sz val="8"/>
      <name val="Tahoma"/>
      <family val="2"/>
    </font>
  </fonts>
  <fills count="18">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solid">
        <fgColor indexed="55"/>
        <bgColor indexed="64"/>
      </patternFill>
    </fill>
    <fill>
      <patternFill patternType="solid">
        <fgColor indexed="22"/>
        <bgColor indexed="64"/>
      </patternFill>
    </fill>
    <fill>
      <patternFill patternType="solid">
        <fgColor rgb="FFFFCC99"/>
        <bgColor indexed="64"/>
      </patternFill>
    </fill>
    <fill>
      <patternFill patternType="solid">
        <fgColor theme="0" tint="-0.249977111117893"/>
        <bgColor indexed="64"/>
      </patternFill>
    </fill>
    <fill>
      <patternFill patternType="solid">
        <fgColor rgb="FF00FF00"/>
        <bgColor indexed="64"/>
      </patternFill>
    </fill>
    <fill>
      <patternFill patternType="solid">
        <fgColor rgb="FFFFFF00"/>
        <bgColor indexed="64"/>
      </patternFill>
    </fill>
    <fill>
      <patternFill patternType="solid">
        <fgColor rgb="FFFF0000"/>
        <bgColor indexed="64"/>
      </patternFill>
    </fill>
    <fill>
      <patternFill patternType="solid">
        <fgColor rgb="FF66FF66"/>
        <bgColor indexed="64"/>
      </patternFill>
    </fill>
    <fill>
      <patternFill patternType="solid">
        <fgColor rgb="FFFFFF99"/>
        <bgColor indexed="64"/>
      </patternFill>
    </fill>
    <fill>
      <patternFill patternType="solid">
        <fgColor rgb="FFFF7979"/>
        <bgColor indexed="64"/>
      </patternFill>
    </fill>
    <fill>
      <patternFill patternType="solid">
        <fgColor rgb="FFFFFFFF"/>
        <bgColor indexed="64"/>
      </patternFill>
    </fill>
    <fill>
      <patternFill patternType="solid">
        <fgColor theme="9" tint="0.59999389629810485"/>
        <bgColor indexed="64"/>
      </patternFill>
    </fill>
    <fill>
      <patternFill patternType="solid">
        <fgColor theme="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s>
  <cellStyleXfs count="30">
    <xf numFmtId="0" fontId="0"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4" fillId="0" borderId="0"/>
    <xf numFmtId="0" fontId="3" fillId="2" borderId="1">
      <alignment horizontal="center" textRotation="90"/>
    </xf>
    <xf numFmtId="0" fontId="3" fillId="0" borderId="0">
      <alignment textRotation="90"/>
    </xf>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0" fontId="33" fillId="0" borderId="0" applyNumberFormat="0" applyFill="0" applyBorder="0" applyAlignment="0" applyProtection="0">
      <alignment vertical="top"/>
      <protection locked="0"/>
    </xf>
    <xf numFmtId="0" fontId="26" fillId="0" borderId="0"/>
    <xf numFmtId="0" fontId="3" fillId="0" borderId="0"/>
    <xf numFmtId="0" fontId="27" fillId="0" borderId="0" applyNumberFormat="0" applyFill="0" applyBorder="0" applyAlignment="0" applyProtection="0">
      <alignment vertical="top"/>
      <protection locked="0"/>
    </xf>
    <xf numFmtId="0" fontId="29" fillId="0" borderId="0"/>
    <xf numFmtId="0" fontId="33"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43" fontId="3" fillId="0" borderId="0" applyFont="0" applyFill="0" applyBorder="0" applyAlignment="0" applyProtection="0"/>
    <xf numFmtId="0" fontId="42" fillId="0" borderId="0"/>
    <xf numFmtId="9" fontId="3" fillId="0" borderId="0" applyFont="0" applyFill="0" applyBorder="0" applyAlignment="0" applyProtection="0"/>
    <xf numFmtId="0" fontId="3" fillId="0" borderId="0"/>
    <xf numFmtId="0" fontId="3" fillId="0" borderId="0"/>
    <xf numFmtId="0" fontId="27" fillId="0" borderId="0" applyNumberFormat="0" applyFill="0" applyBorder="0" applyAlignment="0" applyProtection="0">
      <alignment vertical="top"/>
      <protection locked="0"/>
    </xf>
    <xf numFmtId="0" fontId="42" fillId="0" borderId="0"/>
    <xf numFmtId="0" fontId="3" fillId="0" borderId="0"/>
    <xf numFmtId="0" fontId="2" fillId="0" borderId="0"/>
  </cellStyleXfs>
  <cellXfs count="530">
    <xf numFmtId="0" fontId="0" fillId="0" borderId="0" xfId="0"/>
    <xf numFmtId="0" fontId="8" fillId="0" borderId="1" xfId="4" applyFont="1" applyBorder="1"/>
    <xf numFmtId="0" fontId="8" fillId="0" borderId="1" xfId="4" applyFont="1" applyFill="1" applyBorder="1"/>
    <xf numFmtId="0" fontId="8" fillId="0" borderId="25" xfId="4" applyFont="1" applyFill="1" applyBorder="1"/>
    <xf numFmtId="166" fontId="8" fillId="0" borderId="1" xfId="1" applyNumberFormat="1" applyFont="1" applyFill="1" applyBorder="1" applyAlignment="1">
      <alignment horizontal="center"/>
    </xf>
    <xf numFmtId="166" fontId="8" fillId="0" borderId="9" xfId="1" applyNumberFormat="1" applyFont="1" applyFill="1" applyBorder="1" applyAlignment="1">
      <alignment horizontal="center"/>
    </xf>
    <xf numFmtId="166" fontId="8" fillId="0" borderId="4" xfId="1" applyNumberFormat="1" applyFont="1" applyFill="1" applyBorder="1" applyAlignment="1">
      <alignment horizontal="center"/>
    </xf>
    <xf numFmtId="166" fontId="8" fillId="0" borderId="25" xfId="1" applyNumberFormat="1" applyFont="1" applyFill="1" applyBorder="1" applyAlignment="1">
      <alignment horizontal="center"/>
    </xf>
    <xf numFmtId="165" fontId="9" fillId="3" borderId="0" xfId="4" applyNumberFormat="1" applyFont="1" applyFill="1" applyAlignment="1">
      <alignment horizontal="right"/>
    </xf>
    <xf numFmtId="167" fontId="9" fillId="3" borderId="0" xfId="12" applyNumberFormat="1" applyFont="1" applyFill="1" applyAlignment="1">
      <alignment horizontal="center"/>
    </xf>
    <xf numFmtId="165" fontId="9" fillId="3" borderId="0" xfId="12" applyNumberFormat="1" applyFont="1" applyFill="1" applyAlignment="1">
      <alignment horizontal="right"/>
    </xf>
    <xf numFmtId="1" fontId="8" fillId="0" borderId="1" xfId="1" applyNumberFormat="1" applyFont="1" applyFill="1" applyBorder="1" applyAlignment="1">
      <alignment horizontal="center"/>
    </xf>
    <xf numFmtId="1" fontId="8" fillId="0" borderId="4" xfId="1" applyNumberFormat="1" applyFont="1" applyFill="1" applyBorder="1" applyAlignment="1">
      <alignment horizontal="center"/>
    </xf>
    <xf numFmtId="166" fontId="8" fillId="3" borderId="1" xfId="11" applyNumberFormat="1" applyFont="1" applyFill="1" applyBorder="1" applyAlignment="1">
      <alignment horizontal="center"/>
    </xf>
    <xf numFmtId="166" fontId="8" fillId="3" borderId="4" xfId="11" applyNumberFormat="1" applyFont="1" applyFill="1" applyBorder="1" applyAlignment="1">
      <alignment horizontal="center"/>
    </xf>
    <xf numFmtId="0" fontId="8" fillId="0" borderId="0" xfId="4" applyFont="1"/>
    <xf numFmtId="0" fontId="9" fillId="0" borderId="0" xfId="4" applyFont="1"/>
    <xf numFmtId="0" fontId="8" fillId="8" borderId="18" xfId="4" applyFont="1" applyFill="1" applyBorder="1" applyAlignment="1">
      <alignment horizontal="right"/>
    </xf>
    <xf numFmtId="0" fontId="8" fillId="8" borderId="26" xfId="4" applyFont="1" applyFill="1" applyBorder="1" applyAlignment="1">
      <alignment horizontal="center"/>
    </xf>
    <xf numFmtId="0" fontId="8" fillId="8" borderId="19" xfId="4" applyFont="1" applyFill="1" applyBorder="1" applyAlignment="1">
      <alignment horizontal="center"/>
    </xf>
    <xf numFmtId="0" fontId="8" fillId="8" borderId="20" xfId="4" applyFont="1" applyFill="1" applyBorder="1" applyAlignment="1">
      <alignment horizontal="right"/>
    </xf>
    <xf numFmtId="0" fontId="8" fillId="8" borderId="16" xfId="4" applyFont="1" applyFill="1" applyBorder="1" applyAlignment="1">
      <alignment horizontal="center"/>
    </xf>
    <xf numFmtId="0" fontId="8" fillId="8" borderId="17" xfId="4" applyFont="1" applyFill="1" applyBorder="1" applyAlignment="1">
      <alignment horizontal="center"/>
    </xf>
    <xf numFmtId="0" fontId="8" fillId="3" borderId="1" xfId="4" applyFont="1" applyFill="1" applyBorder="1" applyAlignment="1">
      <alignment horizontal="center" textRotation="90" wrapText="1"/>
    </xf>
    <xf numFmtId="0" fontId="8" fillId="0" borderId="1" xfId="4" applyFont="1" applyBorder="1" applyAlignment="1">
      <alignment horizontal="center"/>
    </xf>
    <xf numFmtId="0" fontId="8" fillId="0" borderId="6" xfId="4" applyFont="1" applyBorder="1"/>
    <xf numFmtId="2" fontId="8" fillId="0" borderId="1" xfId="4" applyNumberFormat="1" applyFont="1" applyFill="1" applyBorder="1" applyAlignment="1">
      <alignment horizontal="center"/>
    </xf>
    <xf numFmtId="9" fontId="8" fillId="0" borderId="1" xfId="9" applyFont="1" applyFill="1" applyBorder="1" applyAlignment="1">
      <alignment horizontal="center"/>
    </xf>
    <xf numFmtId="0" fontId="8" fillId="0" borderId="6" xfId="4" applyFont="1" applyFill="1" applyBorder="1"/>
    <xf numFmtId="9" fontId="11" fillId="0" borderId="1" xfId="9" applyFont="1" applyBorder="1" applyAlignment="1">
      <alignment horizontal="center"/>
    </xf>
    <xf numFmtId="9" fontId="8" fillId="0" borderId="1" xfId="13" applyFont="1" applyFill="1" applyBorder="1" applyAlignment="1">
      <alignment horizontal="center"/>
    </xf>
    <xf numFmtId="9" fontId="8" fillId="0" borderId="1" xfId="9" applyFont="1" applyBorder="1" applyAlignment="1">
      <alignment horizontal="center"/>
    </xf>
    <xf numFmtId="2" fontId="8" fillId="8" borderId="27" xfId="4" applyNumberFormat="1" applyFont="1" applyFill="1" applyBorder="1" applyAlignment="1">
      <alignment horizontal="center"/>
    </xf>
    <xf numFmtId="2" fontId="12" fillId="8" borderId="27" xfId="4" applyNumberFormat="1" applyFont="1" applyFill="1" applyBorder="1" applyAlignment="1">
      <alignment horizontal="center"/>
    </xf>
    <xf numFmtId="2" fontId="8" fillId="8" borderId="28" xfId="4" applyNumberFormat="1" applyFont="1" applyFill="1" applyBorder="1" applyAlignment="1">
      <alignment horizontal="center"/>
    </xf>
    <xf numFmtId="2" fontId="8" fillId="8" borderId="29" xfId="4" applyNumberFormat="1" applyFont="1" applyFill="1" applyBorder="1" applyAlignment="1">
      <alignment horizontal="center"/>
    </xf>
    <xf numFmtId="0" fontId="8" fillId="0" borderId="1" xfId="4" applyFont="1" applyBorder="1" applyAlignment="1">
      <alignment horizontal="left"/>
    </xf>
    <xf numFmtId="2" fontId="12" fillId="8" borderId="1" xfId="4" applyNumberFormat="1" applyFont="1" applyFill="1" applyBorder="1" applyAlignment="1">
      <alignment horizontal="center"/>
    </xf>
    <xf numFmtId="2" fontId="12" fillId="8" borderId="4" xfId="4" applyNumberFormat="1" applyFont="1" applyFill="1" applyBorder="1" applyAlignment="1">
      <alignment horizontal="center"/>
    </xf>
    <xf numFmtId="2" fontId="8" fillId="8" borderId="32" xfId="4" applyNumberFormat="1" applyFont="1" applyFill="1" applyBorder="1" applyAlignment="1">
      <alignment horizontal="center"/>
    </xf>
    <xf numFmtId="0" fontId="16" fillId="0" borderId="0" xfId="3" applyFont="1"/>
    <xf numFmtId="0" fontId="15" fillId="0" borderId="0" xfId="0" applyFont="1"/>
    <xf numFmtId="15" fontId="15" fillId="0" borderId="14" xfId="0" applyNumberFormat="1" applyFont="1" applyBorder="1"/>
    <xf numFmtId="0" fontId="15" fillId="0" borderId="13" xfId="0" applyFont="1" applyBorder="1"/>
    <xf numFmtId="0" fontId="15" fillId="0" borderId="14" xfId="0" applyFont="1" applyBorder="1"/>
    <xf numFmtId="0" fontId="15" fillId="0" borderId="20" xfId="0" applyFont="1" applyBorder="1"/>
    <xf numFmtId="0" fontId="15" fillId="0" borderId="17" xfId="0" applyFont="1" applyBorder="1"/>
    <xf numFmtId="0" fontId="17" fillId="0" borderId="0" xfId="0" applyFont="1"/>
    <xf numFmtId="0" fontId="19" fillId="0" borderId="0" xfId="0" applyFont="1" applyAlignment="1">
      <alignment horizontal="center" vertical="center"/>
    </xf>
    <xf numFmtId="0" fontId="19" fillId="0" borderId="0" xfId="0" applyFont="1" applyAlignment="1">
      <alignment horizontal="center"/>
    </xf>
    <xf numFmtId="15" fontId="15" fillId="0" borderId="1" xfId="0" applyNumberFormat="1" applyFont="1" applyBorder="1" applyAlignment="1">
      <alignment horizontal="center" vertical="center"/>
    </xf>
    <xf numFmtId="0" fontId="15" fillId="0" borderId="1" xfId="0" applyFont="1" applyBorder="1" applyAlignment="1">
      <alignment horizontal="center" vertical="center"/>
    </xf>
    <xf numFmtId="0" fontId="15" fillId="0" borderId="1" xfId="3" applyFont="1" applyBorder="1"/>
    <xf numFmtId="0" fontId="15" fillId="0" borderId="0" xfId="0" applyFont="1" applyAlignment="1">
      <alignment horizontal="center"/>
    </xf>
    <xf numFmtId="15" fontId="1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15" fillId="0" borderId="0" xfId="0" applyFont="1" applyAlignment="1">
      <alignment horizontal="center" vertical="center"/>
    </xf>
    <xf numFmtId="0" fontId="15" fillId="0" borderId="1" xfId="0" applyFont="1" applyBorder="1"/>
    <xf numFmtId="0" fontId="15" fillId="0" borderId="1" xfId="0" applyFont="1" applyFill="1" applyBorder="1"/>
    <xf numFmtId="0" fontId="20" fillId="0" borderId="0" xfId="0" applyFont="1" applyFill="1" applyBorder="1" applyAlignment="1"/>
    <xf numFmtId="0" fontId="21" fillId="3" borderId="0" xfId="0" applyFont="1" applyFill="1"/>
    <xf numFmtId="0" fontId="13" fillId="3" borderId="0" xfId="14" applyFont="1" applyFill="1" applyAlignment="1" applyProtection="1"/>
    <xf numFmtId="0" fontId="20" fillId="0" borderId="0" xfId="0" applyFont="1" applyFill="1" applyAlignment="1">
      <alignment horizontal="right"/>
    </xf>
    <xf numFmtId="0" fontId="21" fillId="0" borderId="0" xfId="0" applyFont="1" applyFill="1"/>
    <xf numFmtId="0" fontId="9" fillId="0" borderId="0" xfId="0" applyFont="1" applyFill="1" applyAlignment="1">
      <alignment horizontal="right"/>
    </xf>
    <xf numFmtId="1" fontId="9" fillId="0" borderId="0" xfId="0" applyNumberFormat="1" applyFont="1" applyFill="1"/>
    <xf numFmtId="165" fontId="9" fillId="0" borderId="0" xfId="0" applyNumberFormat="1" applyFont="1" applyFill="1"/>
    <xf numFmtId="0" fontId="9" fillId="3" borderId="0" xfId="0" applyFont="1" applyFill="1"/>
    <xf numFmtId="0" fontId="9" fillId="0" borderId="0" xfId="0" applyFont="1" applyFill="1"/>
    <xf numFmtId="2" fontId="9" fillId="0" borderId="0" xfId="0" applyNumberFormat="1" applyFont="1" applyFill="1"/>
    <xf numFmtId="165" fontId="9" fillId="0" borderId="0" xfId="0" quotePrefix="1" applyNumberFormat="1" applyFont="1" applyFill="1"/>
    <xf numFmtId="0" fontId="9" fillId="0" borderId="0" xfId="0" quotePrefix="1" applyFont="1" applyFill="1" applyAlignment="1">
      <alignment horizontal="right"/>
    </xf>
    <xf numFmtId="9" fontId="9" fillId="0" borderId="0" xfId="0" applyNumberFormat="1" applyFont="1" applyFill="1"/>
    <xf numFmtId="9" fontId="9" fillId="3" borderId="0" xfId="0" applyNumberFormat="1" applyFont="1" applyFill="1"/>
    <xf numFmtId="43" fontId="9" fillId="0" borderId="0" xfId="2" applyFont="1" applyFill="1"/>
    <xf numFmtId="0" fontId="8" fillId="0" borderId="1" xfId="0" applyFont="1" applyFill="1" applyBorder="1" applyAlignment="1">
      <alignment horizontal="right"/>
    </xf>
    <xf numFmtId="0" fontId="8" fillId="0" borderId="1" xfId="0" applyFont="1" applyFill="1" applyBorder="1" applyAlignment="1">
      <alignment horizontal="center" textRotation="90"/>
    </xf>
    <xf numFmtId="0" fontId="8" fillId="0" borderId="4" xfId="0" applyFont="1" applyFill="1" applyBorder="1" applyAlignment="1">
      <alignment horizontal="center" textRotation="90"/>
    </xf>
    <xf numFmtId="0" fontId="8" fillId="3" borderId="0" xfId="0" applyFont="1" applyFill="1" applyAlignment="1">
      <alignment horizontal="center"/>
    </xf>
    <xf numFmtId="0" fontId="8" fillId="0" borderId="1" xfId="0" applyFont="1" applyFill="1" applyBorder="1" applyAlignment="1">
      <alignment horizontal="center"/>
    </xf>
    <xf numFmtId="0" fontId="8" fillId="0" borderId="2" xfId="0" applyFont="1" applyFill="1" applyBorder="1" applyAlignment="1">
      <alignment horizontal="center"/>
    </xf>
    <xf numFmtId="0" fontId="8" fillId="3" borderId="0" xfId="0" applyFont="1" applyFill="1"/>
    <xf numFmtId="0" fontId="10" fillId="0" borderId="7" xfId="4" applyFont="1" applyFill="1" applyBorder="1"/>
    <xf numFmtId="165" fontId="8" fillId="0" borderId="7" xfId="0" applyNumberFormat="1" applyFont="1" applyFill="1" applyBorder="1" applyAlignment="1">
      <alignment horizontal="center"/>
    </xf>
    <xf numFmtId="165" fontId="8" fillId="0" borderId="0" xfId="0" applyNumberFormat="1" applyFont="1" applyFill="1" applyBorder="1" applyAlignment="1">
      <alignment horizontal="center"/>
    </xf>
    <xf numFmtId="0" fontId="9" fillId="0" borderId="0" xfId="0" applyFont="1"/>
    <xf numFmtId="9" fontId="8" fillId="0" borderId="1" xfId="10" applyFont="1" applyFill="1" applyBorder="1" applyAlignment="1">
      <alignment horizontal="center"/>
    </xf>
    <xf numFmtId="9" fontId="8" fillId="0" borderId="4" xfId="10" applyFont="1" applyFill="1" applyBorder="1" applyAlignment="1">
      <alignment horizontal="center"/>
    </xf>
    <xf numFmtId="166" fontId="8" fillId="0" borderId="1" xfId="2" applyNumberFormat="1" applyFont="1" applyFill="1" applyBorder="1" applyAlignment="1">
      <alignment horizontal="center"/>
    </xf>
    <xf numFmtId="166" fontId="8" fillId="0" borderId="4" xfId="2" applyNumberFormat="1" applyFont="1" applyFill="1" applyBorder="1" applyAlignment="1">
      <alignment horizontal="center"/>
    </xf>
    <xf numFmtId="0" fontId="10" fillId="0" borderId="4" xfId="0" applyFont="1" applyFill="1" applyBorder="1"/>
    <xf numFmtId="9" fontId="8" fillId="0" borderId="3" xfId="10" applyFont="1" applyFill="1" applyBorder="1" applyAlignment="1">
      <alignment horizontal="center"/>
    </xf>
    <xf numFmtId="0" fontId="22" fillId="3" borderId="0" xfId="0" applyFont="1" applyFill="1"/>
    <xf numFmtId="0" fontId="22" fillId="0" borderId="0" xfId="0" applyFont="1"/>
    <xf numFmtId="0" fontId="8" fillId="0" borderId="1" xfId="3" applyFont="1" applyFill="1" applyBorder="1" applyAlignment="1">
      <alignment horizontal="right"/>
    </xf>
    <xf numFmtId="9" fontId="8" fillId="0" borderId="2" xfId="10" applyFont="1" applyFill="1" applyBorder="1" applyAlignment="1">
      <alignment horizontal="center"/>
    </xf>
    <xf numFmtId="0" fontId="8" fillId="0" borderId="1" xfId="0" applyFont="1" applyFill="1" applyBorder="1" applyAlignment="1">
      <alignment horizontal="left"/>
    </xf>
    <xf numFmtId="2" fontId="8" fillId="0" borderId="1" xfId="0" applyNumberFormat="1" applyFont="1" applyFill="1" applyBorder="1" applyAlignment="1">
      <alignment horizontal="center"/>
    </xf>
    <xf numFmtId="2" fontId="8" fillId="0" borderId="4" xfId="0" applyNumberFormat="1" applyFont="1" applyFill="1" applyBorder="1" applyAlignment="1">
      <alignment horizontal="center"/>
    </xf>
    <xf numFmtId="0" fontId="8" fillId="0" borderId="1" xfId="0" applyFont="1" applyFill="1" applyBorder="1"/>
    <xf numFmtId="2" fontId="8" fillId="0" borderId="9" xfId="0" applyNumberFormat="1" applyFont="1" applyFill="1" applyBorder="1" applyAlignment="1">
      <alignment horizontal="center"/>
    </xf>
    <xf numFmtId="0" fontId="10" fillId="0" borderId="4" xfId="4" applyFont="1" applyFill="1" applyBorder="1"/>
    <xf numFmtId="1" fontId="8" fillId="0" borderId="9" xfId="0" applyNumberFormat="1" applyFont="1" applyFill="1" applyBorder="1" applyAlignment="1">
      <alignment horizontal="center"/>
    </xf>
    <xf numFmtId="1" fontId="8" fillId="0" borderId="25" xfId="0" applyNumberFormat="1" applyFont="1" applyFill="1" applyBorder="1" applyAlignment="1">
      <alignment horizontal="center"/>
    </xf>
    <xf numFmtId="1" fontId="8" fillId="0" borderId="1" xfId="0" applyNumberFormat="1" applyFont="1" applyFill="1" applyBorder="1" applyAlignment="1">
      <alignment horizontal="center"/>
    </xf>
    <xf numFmtId="1" fontId="8" fillId="0" borderId="4" xfId="0" applyNumberFormat="1" applyFont="1" applyFill="1" applyBorder="1" applyAlignment="1">
      <alignment horizontal="center"/>
    </xf>
    <xf numFmtId="0" fontId="8" fillId="0" borderId="1" xfId="6" applyFont="1" applyFill="1" applyBorder="1" applyAlignment="1" applyProtection="1">
      <alignment horizontal="left" vertical="center"/>
    </xf>
    <xf numFmtId="0" fontId="23" fillId="0" borderId="1" xfId="0" applyFont="1" applyFill="1" applyBorder="1" applyAlignment="1">
      <alignment horizontal="center"/>
    </xf>
    <xf numFmtId="0" fontId="23" fillId="7" borderId="1" xfId="0" applyFont="1" applyFill="1" applyBorder="1" applyAlignment="1">
      <alignment horizontal="center"/>
    </xf>
    <xf numFmtId="0" fontId="8" fillId="0" borderId="9" xfId="6" applyFont="1" applyFill="1" applyBorder="1" applyAlignment="1" applyProtection="1">
      <alignment horizontal="left" vertical="center"/>
    </xf>
    <xf numFmtId="0" fontId="8" fillId="3" borderId="0" xfId="0" applyFont="1" applyFill="1" applyBorder="1"/>
    <xf numFmtId="0" fontId="9" fillId="2" borderId="0" xfId="0" applyFont="1" applyFill="1"/>
    <xf numFmtId="0" fontId="8" fillId="0" borderId="0" xfId="0" applyFont="1" applyBorder="1" applyAlignment="1">
      <alignment horizontal="center"/>
    </xf>
    <xf numFmtId="0" fontId="8" fillId="0" borderId="0" xfId="0" applyFont="1" applyBorder="1"/>
    <xf numFmtId="0" fontId="9" fillId="4" borderId="0" xfId="0" applyFont="1" applyFill="1"/>
    <xf numFmtId="0" fontId="8" fillId="0" borderId="0" xfId="0" applyFont="1"/>
    <xf numFmtId="0" fontId="9" fillId="3" borderId="0" xfId="0" applyFont="1" applyFill="1" applyBorder="1"/>
    <xf numFmtId="0" fontId="9" fillId="3" borderId="0" xfId="0" applyFont="1" applyFill="1" applyAlignment="1">
      <alignment horizontal="center"/>
    </xf>
    <xf numFmtId="0" fontId="24" fillId="8" borderId="11" xfId="0" applyFont="1" applyFill="1" applyBorder="1" applyAlignment="1">
      <alignment horizontal="right"/>
    </xf>
    <xf numFmtId="2" fontId="8" fillId="8" borderId="9" xfId="0" applyNumberFormat="1" applyFont="1" applyFill="1" applyBorder="1" applyAlignment="1">
      <alignment horizontal="center"/>
    </xf>
    <xf numFmtId="2" fontId="8" fillId="8" borderId="12" xfId="0" applyNumberFormat="1" applyFont="1" applyFill="1" applyBorder="1" applyAlignment="1">
      <alignment horizontal="center"/>
    </xf>
    <xf numFmtId="0" fontId="24" fillId="8" borderId="13" xfId="0" applyFont="1" applyFill="1" applyBorder="1" applyAlignment="1">
      <alignment horizontal="right"/>
    </xf>
    <xf numFmtId="2" fontId="8" fillId="8" borderId="1" xfId="0" applyNumberFormat="1" applyFont="1" applyFill="1" applyBorder="1" applyAlignment="1">
      <alignment horizontal="center"/>
    </xf>
    <xf numFmtId="2" fontId="8" fillId="8" borderId="14" xfId="0" applyNumberFormat="1" applyFont="1" applyFill="1" applyBorder="1" applyAlignment="1">
      <alignment horizontal="center"/>
    </xf>
    <xf numFmtId="2" fontId="12" fillId="8" borderId="1" xfId="0" applyNumberFormat="1" applyFont="1" applyFill="1" applyBorder="1" applyAlignment="1">
      <alignment horizontal="center"/>
    </xf>
    <xf numFmtId="2" fontId="12" fillId="8" borderId="14" xfId="0" applyNumberFormat="1" applyFont="1" applyFill="1" applyBorder="1" applyAlignment="1">
      <alignment horizontal="center"/>
    </xf>
    <xf numFmtId="0" fontId="24" fillId="8" borderId="15" xfId="0" applyFont="1" applyFill="1" applyBorder="1" applyAlignment="1">
      <alignment horizontal="right"/>
    </xf>
    <xf numFmtId="2" fontId="8" fillId="8" borderId="2" xfId="0" applyNumberFormat="1" applyFont="1" applyFill="1" applyBorder="1" applyAlignment="1">
      <alignment horizontal="center"/>
    </xf>
    <xf numFmtId="2" fontId="8" fillId="8" borderId="16" xfId="0" applyNumberFormat="1" applyFont="1" applyFill="1" applyBorder="1" applyAlignment="1">
      <alignment horizontal="center"/>
    </xf>
    <xf numFmtId="2" fontId="8" fillId="8" borderId="17" xfId="0" applyNumberFormat="1" applyFont="1" applyFill="1" applyBorder="1" applyAlignment="1">
      <alignment horizontal="center"/>
    </xf>
    <xf numFmtId="0" fontId="9" fillId="8" borderId="18" xfId="0" applyFont="1" applyFill="1" applyBorder="1" applyAlignment="1">
      <alignment horizontal="right"/>
    </xf>
    <xf numFmtId="2" fontId="25" fillId="8" borderId="19" xfId="0" applyNumberFormat="1" applyFont="1" applyFill="1" applyBorder="1" applyAlignment="1">
      <alignment horizontal="right"/>
    </xf>
    <xf numFmtId="0" fontId="9" fillId="8" borderId="20" xfId="0" applyFont="1" applyFill="1" applyBorder="1" applyAlignment="1">
      <alignment horizontal="right"/>
    </xf>
    <xf numFmtId="2" fontId="25" fillId="8" borderId="17" xfId="0" applyNumberFormat="1" applyFont="1" applyFill="1" applyBorder="1" applyAlignment="1">
      <alignment horizontal="right"/>
    </xf>
    <xf numFmtId="0" fontId="8" fillId="8" borderId="11" xfId="4" applyFont="1" applyFill="1" applyBorder="1"/>
    <xf numFmtId="1" fontId="23" fillId="8" borderId="12" xfId="4" applyNumberFormat="1" applyFont="1" applyFill="1" applyBorder="1" applyAlignment="1">
      <alignment horizontal="center"/>
    </xf>
    <xf numFmtId="0" fontId="8" fillId="8" borderId="13" xfId="4" applyFont="1" applyFill="1" applyBorder="1"/>
    <xf numFmtId="0" fontId="23" fillId="8" borderId="14" xfId="4" applyFont="1" applyFill="1" applyBorder="1" applyAlignment="1">
      <alignment horizontal="center"/>
    </xf>
    <xf numFmtId="0" fontId="8" fillId="8" borderId="11" xfId="0" applyFont="1" applyFill="1" applyBorder="1"/>
    <xf numFmtId="0" fontId="8" fillId="8" borderId="12" xfId="0" applyFont="1" applyFill="1" applyBorder="1" applyAlignment="1">
      <alignment horizontal="center"/>
    </xf>
    <xf numFmtId="0" fontId="8" fillId="8" borderId="13" xfId="0" applyFont="1" applyFill="1" applyBorder="1"/>
    <xf numFmtId="0" fontId="8" fillId="8" borderId="14" xfId="0" applyFont="1" applyFill="1" applyBorder="1" applyAlignment="1">
      <alignment horizontal="center"/>
    </xf>
    <xf numFmtId="0" fontId="9" fillId="0" borderId="0" xfId="0" applyFont="1" applyBorder="1"/>
    <xf numFmtId="0" fontId="8" fillId="8" borderId="20" xfId="0" applyFont="1" applyFill="1" applyBorder="1"/>
    <xf numFmtId="0" fontId="8" fillId="8" borderId="17" xfId="0" applyFont="1" applyFill="1" applyBorder="1" applyAlignment="1">
      <alignment horizontal="center"/>
    </xf>
    <xf numFmtId="0" fontId="20" fillId="3" borderId="0" xfId="0" applyFont="1" applyFill="1" applyBorder="1" applyAlignment="1"/>
    <xf numFmtId="0" fontId="21" fillId="0" borderId="0" xfId="0" applyFont="1" applyFill="1" applyBorder="1" applyAlignment="1"/>
    <xf numFmtId="0" fontId="9" fillId="3" borderId="0" xfId="0" applyFont="1" applyFill="1" applyAlignment="1">
      <alignment horizontal="right"/>
    </xf>
    <xf numFmtId="1" fontId="9" fillId="3" borderId="0" xfId="0" applyNumberFormat="1" applyFont="1" applyFill="1"/>
    <xf numFmtId="165" fontId="9" fillId="3" borderId="0" xfId="0" applyNumberFormat="1" applyFont="1" applyFill="1"/>
    <xf numFmtId="2" fontId="9" fillId="3" borderId="0" xfId="0" applyNumberFormat="1" applyFont="1" applyFill="1"/>
    <xf numFmtId="165" fontId="9" fillId="3" borderId="0" xfId="0" quotePrefix="1" applyNumberFormat="1" applyFont="1" applyFill="1"/>
    <xf numFmtId="0" fontId="9" fillId="3" borderId="0" xfId="0" quotePrefix="1" applyFont="1" applyFill="1" applyAlignment="1">
      <alignment horizontal="right"/>
    </xf>
    <xf numFmtId="0" fontId="8" fillId="3" borderId="1" xfId="0" applyFont="1" applyFill="1" applyBorder="1" applyAlignment="1">
      <alignment horizontal="center" textRotation="90"/>
    </xf>
    <xf numFmtId="0" fontId="8" fillId="3" borderId="5" xfId="0" applyFont="1" applyFill="1" applyBorder="1" applyAlignment="1">
      <alignment horizontal="center" textRotation="90"/>
    </xf>
    <xf numFmtId="0" fontId="8" fillId="3" borderId="1" xfId="5" applyFont="1" applyFill="1" applyBorder="1" applyAlignment="1">
      <alignment horizontal="center"/>
    </xf>
    <xf numFmtId="165" fontId="8" fillId="0" borderId="10" xfId="0" applyNumberFormat="1" applyFont="1" applyFill="1" applyBorder="1" applyAlignment="1">
      <alignment horizontal="center"/>
    </xf>
    <xf numFmtId="9" fontId="9" fillId="0" borderId="0" xfId="9" applyFont="1"/>
    <xf numFmtId="9" fontId="8" fillId="0" borderId="5" xfId="10" applyFont="1" applyFill="1" applyBorder="1" applyAlignment="1">
      <alignment horizontal="center"/>
    </xf>
    <xf numFmtId="0" fontId="8" fillId="0" borderId="0" xfId="0" applyFont="1" applyFill="1" applyBorder="1"/>
    <xf numFmtId="2" fontId="8" fillId="8" borderId="25" xfId="0" applyNumberFormat="1" applyFont="1" applyFill="1" applyBorder="1" applyAlignment="1">
      <alignment horizontal="center"/>
    </xf>
    <xf numFmtId="2" fontId="8" fillId="8" borderId="4" xfId="0" applyNumberFormat="1" applyFont="1" applyFill="1" applyBorder="1" applyAlignment="1">
      <alignment horizontal="center"/>
    </xf>
    <xf numFmtId="0" fontId="24" fillId="8" borderId="20" xfId="0" applyFont="1" applyFill="1" applyBorder="1" applyAlignment="1">
      <alignment horizontal="right"/>
    </xf>
    <xf numFmtId="2" fontId="8" fillId="8" borderId="31" xfId="0" applyNumberFormat="1" applyFont="1" applyFill="1" applyBorder="1" applyAlignment="1">
      <alignment horizontal="center"/>
    </xf>
    <xf numFmtId="0" fontId="9" fillId="0" borderId="0" xfId="0" applyFont="1" applyAlignment="1">
      <alignment horizontal="right"/>
    </xf>
    <xf numFmtId="1" fontId="9" fillId="0" borderId="0" xfId="0" applyNumberFormat="1" applyFont="1"/>
    <xf numFmtId="0" fontId="9" fillId="0" borderId="1" xfId="0" applyFont="1" applyFill="1" applyBorder="1"/>
    <xf numFmtId="165" fontId="8" fillId="0" borderId="1" xfId="0" applyNumberFormat="1" applyFont="1" applyFill="1" applyBorder="1" applyAlignment="1">
      <alignment horizontal="center"/>
    </xf>
    <xf numFmtId="0" fontId="8" fillId="0" borderId="1" xfId="10" applyNumberFormat="1" applyFont="1" applyFill="1" applyBorder="1" applyAlignment="1">
      <alignment horizontal="center"/>
    </xf>
    <xf numFmtId="2" fontId="8" fillId="0" borderId="1" xfId="0" applyNumberFormat="1" applyFont="1" applyFill="1" applyBorder="1" applyAlignment="1">
      <alignment horizontal="right"/>
    </xf>
    <xf numFmtId="0" fontId="9" fillId="5" borderId="1" xfId="0" applyFont="1" applyFill="1" applyBorder="1" applyAlignment="1">
      <alignment horizontal="center"/>
    </xf>
    <xf numFmtId="9" fontId="9" fillId="5" borderId="1" xfId="10" applyFont="1" applyFill="1" applyBorder="1"/>
    <xf numFmtId="0" fontId="10" fillId="0" borderId="4" xfId="4" applyFont="1" applyFill="1" applyBorder="1" applyAlignment="1">
      <alignment horizontal="left"/>
    </xf>
    <xf numFmtId="166" fontId="8" fillId="0" borderId="9" xfId="2" applyNumberFormat="1" applyFont="1" applyFill="1" applyBorder="1" applyAlignment="1">
      <alignment horizontal="center"/>
    </xf>
    <xf numFmtId="166" fontId="8" fillId="0" borderId="25" xfId="2" applyNumberFormat="1" applyFont="1" applyFill="1" applyBorder="1" applyAlignment="1">
      <alignment horizontal="center"/>
    </xf>
    <xf numFmtId="1" fontId="8" fillId="0" borderId="1" xfId="2" applyNumberFormat="1" applyFont="1" applyFill="1" applyBorder="1" applyAlignment="1">
      <alignment horizontal="center"/>
    </xf>
    <xf numFmtId="1" fontId="8" fillId="0" borderId="4" xfId="2" applyNumberFormat="1" applyFont="1" applyFill="1" applyBorder="1" applyAlignment="1">
      <alignment horizontal="center"/>
    </xf>
    <xf numFmtId="0" fontId="8" fillId="0" borderId="1" xfId="4" applyFont="1" applyFill="1" applyBorder="1" applyAlignment="1">
      <alignment horizontal="center" textRotation="90" wrapText="1"/>
    </xf>
    <xf numFmtId="0" fontId="24" fillId="8" borderId="13" xfId="4" applyFont="1" applyFill="1" applyBorder="1" applyAlignment="1">
      <alignment horizontal="right"/>
    </xf>
    <xf numFmtId="166" fontId="8" fillId="0" borderId="3" xfId="2" applyNumberFormat="1" applyFont="1" applyFill="1" applyBorder="1" applyAlignment="1">
      <alignment horizontal="center"/>
    </xf>
    <xf numFmtId="0" fontId="9" fillId="3" borderId="0" xfId="4" applyFont="1" applyFill="1" applyAlignment="1">
      <alignment horizontal="right"/>
    </xf>
    <xf numFmtId="0" fontId="9" fillId="3" borderId="0" xfId="4" applyFont="1" applyFill="1"/>
    <xf numFmtId="165" fontId="9" fillId="0" borderId="0" xfId="4" applyNumberFormat="1" applyFont="1" applyFill="1"/>
    <xf numFmtId="9" fontId="9" fillId="0" borderId="0" xfId="4" applyNumberFormat="1" applyFont="1" applyFill="1"/>
    <xf numFmtId="0" fontId="12" fillId="0" borderId="4" xfId="4" applyFont="1" applyBorder="1"/>
    <xf numFmtId="9" fontId="8" fillId="0" borderId="4" xfId="9" applyFont="1" applyFill="1" applyBorder="1" applyAlignment="1">
      <alignment horizontal="center"/>
    </xf>
    <xf numFmtId="9" fontId="8" fillId="0" borderId="3" xfId="9" applyFont="1" applyFill="1" applyBorder="1" applyAlignment="1">
      <alignment horizontal="center"/>
    </xf>
    <xf numFmtId="9" fontId="8" fillId="0" borderId="5" xfId="9" applyFont="1" applyFill="1" applyBorder="1" applyAlignment="1">
      <alignment horizontal="center"/>
    </xf>
    <xf numFmtId="0" fontId="12" fillId="0" borderId="25" xfId="4" applyFont="1" applyFill="1" applyBorder="1"/>
    <xf numFmtId="166" fontId="8" fillId="0" borderId="3" xfId="1" applyNumberFormat="1" applyFont="1" applyFill="1" applyBorder="1" applyAlignment="1">
      <alignment horizontal="center"/>
    </xf>
    <xf numFmtId="15" fontId="15" fillId="0" borderId="1" xfId="0" applyNumberFormat="1" applyFont="1" applyBorder="1" applyAlignment="1">
      <alignment horizontal="center"/>
    </xf>
    <xf numFmtId="166" fontId="8" fillId="0" borderId="6" xfId="1" applyNumberFormat="1" applyFont="1" applyFill="1" applyBorder="1" applyAlignment="1">
      <alignment horizontal="center"/>
    </xf>
    <xf numFmtId="166" fontId="8" fillId="0" borderId="5" xfId="2" applyNumberFormat="1" applyFont="1" applyFill="1" applyBorder="1" applyAlignment="1">
      <alignment horizontal="center"/>
    </xf>
    <xf numFmtId="9" fontId="8" fillId="3" borderId="2" xfId="9" applyFont="1" applyFill="1" applyBorder="1" applyAlignment="1">
      <alignment horizontal="center"/>
    </xf>
    <xf numFmtId="1" fontId="8" fillId="0" borderId="9" xfId="1" applyNumberFormat="1" applyFont="1" applyFill="1" applyBorder="1" applyAlignment="1">
      <alignment horizontal="center"/>
    </xf>
    <xf numFmtId="9" fontId="8" fillId="3" borderId="4" xfId="9" applyFont="1" applyFill="1" applyBorder="1" applyAlignment="1">
      <alignment horizontal="center"/>
    </xf>
    <xf numFmtId="9" fontId="8" fillId="3" borderId="3" xfId="9" applyFont="1" applyFill="1" applyBorder="1" applyAlignment="1">
      <alignment horizontal="center"/>
    </xf>
    <xf numFmtId="9" fontId="8" fillId="3" borderId="5" xfId="9" applyFont="1" applyFill="1" applyBorder="1" applyAlignment="1">
      <alignment horizontal="center"/>
    </xf>
    <xf numFmtId="0" fontId="8" fillId="0" borderId="0" xfId="16" applyFont="1" applyBorder="1"/>
    <xf numFmtId="0" fontId="8" fillId="0" borderId="33" xfId="16" applyFont="1" applyBorder="1"/>
    <xf numFmtId="0" fontId="8" fillId="0" borderId="13" xfId="0" applyFont="1" applyFill="1" applyBorder="1"/>
    <xf numFmtId="2" fontId="8" fillId="12" borderId="1" xfId="16" applyNumberFormat="1" applyFont="1" applyFill="1" applyBorder="1" applyAlignment="1">
      <alignment horizontal="center"/>
    </xf>
    <xf numFmtId="2" fontId="8" fillId="13" borderId="1" xfId="16" applyNumberFormat="1" applyFont="1" applyFill="1" applyBorder="1" applyAlignment="1">
      <alignment horizontal="center"/>
    </xf>
    <xf numFmtId="2" fontId="8" fillId="14" borderId="1" xfId="16" applyNumberFormat="1" applyFont="1" applyFill="1" applyBorder="1" applyAlignment="1">
      <alignment horizontal="center"/>
    </xf>
    <xf numFmtId="0" fontId="8" fillId="0" borderId="20" xfId="0" applyFont="1" applyFill="1" applyBorder="1"/>
    <xf numFmtId="2" fontId="8" fillId="12" borderId="16" xfId="16" applyNumberFormat="1" applyFont="1" applyFill="1" applyBorder="1" applyAlignment="1">
      <alignment horizontal="center"/>
    </xf>
    <xf numFmtId="2" fontId="8" fillId="13" borderId="16" xfId="16" applyNumberFormat="1" applyFont="1" applyFill="1" applyBorder="1" applyAlignment="1">
      <alignment horizontal="center"/>
    </xf>
    <xf numFmtId="2" fontId="8" fillId="14" borderId="16" xfId="16" applyNumberFormat="1" applyFont="1" applyFill="1" applyBorder="1" applyAlignment="1">
      <alignment horizontal="center"/>
    </xf>
    <xf numFmtId="0" fontId="8" fillId="0" borderId="0" xfId="16" applyFont="1" applyFill="1" applyBorder="1"/>
    <xf numFmtId="2" fontId="8" fillId="0" borderId="0" xfId="16" applyNumberFormat="1" applyFont="1" applyFill="1" applyBorder="1" applyAlignment="1">
      <alignment horizontal="center"/>
    </xf>
    <xf numFmtId="0" fontId="9" fillId="0" borderId="0" xfId="0" applyFont="1" applyFill="1" applyBorder="1"/>
    <xf numFmtId="0" fontId="10" fillId="8" borderId="18" xfId="12" applyFont="1" applyFill="1" applyBorder="1" applyAlignment="1"/>
    <xf numFmtId="0" fontId="24" fillId="0" borderId="13" xfId="16" applyFont="1" applyFill="1" applyBorder="1"/>
    <xf numFmtId="2" fontId="8" fillId="14" borderId="14" xfId="16" applyNumberFormat="1" applyFont="1" applyFill="1" applyBorder="1" applyAlignment="1">
      <alignment horizontal="center"/>
    </xf>
    <xf numFmtId="2" fontId="8" fillId="14" borderId="17" xfId="16" applyNumberFormat="1" applyFont="1" applyFill="1" applyBorder="1" applyAlignment="1">
      <alignment horizontal="center"/>
    </xf>
    <xf numFmtId="0" fontId="8" fillId="0" borderId="33" xfId="16" applyFont="1" applyFill="1" applyBorder="1"/>
    <xf numFmtId="0" fontId="24" fillId="8" borderId="34" xfId="4" applyFont="1" applyFill="1" applyBorder="1" applyAlignment="1">
      <alignment horizontal="right"/>
    </xf>
    <xf numFmtId="2" fontId="12" fillId="8" borderId="35" xfId="4" applyNumberFormat="1" applyFont="1" applyFill="1" applyBorder="1" applyAlignment="1">
      <alignment horizontal="center"/>
    </xf>
    <xf numFmtId="2" fontId="12" fillId="8" borderId="36" xfId="4" applyNumberFormat="1" applyFont="1" applyFill="1" applyBorder="1" applyAlignment="1">
      <alignment horizontal="center"/>
    </xf>
    <xf numFmtId="2" fontId="12" fillId="8" borderId="37" xfId="4" applyNumberFormat="1" applyFont="1" applyFill="1" applyBorder="1" applyAlignment="1">
      <alignment horizontal="center"/>
    </xf>
    <xf numFmtId="2" fontId="8" fillId="0" borderId="2" xfId="0" applyNumberFormat="1" applyFont="1" applyFill="1" applyBorder="1" applyAlignment="1">
      <alignment horizontal="center"/>
    </xf>
    <xf numFmtId="2" fontId="8" fillId="0" borderId="8" xfId="0" applyNumberFormat="1" applyFont="1" applyFill="1" applyBorder="1" applyAlignment="1">
      <alignment horizontal="center"/>
    </xf>
    <xf numFmtId="165" fontId="33" fillId="0" borderId="0" xfId="14" applyNumberFormat="1" applyFill="1" applyAlignment="1" applyProtection="1"/>
    <xf numFmtId="0" fontId="33" fillId="0" borderId="0" xfId="14" applyAlignment="1" applyProtection="1"/>
    <xf numFmtId="0" fontId="13" fillId="3" borderId="0" xfId="17" applyFont="1" applyFill="1" applyAlignment="1" applyProtection="1"/>
    <xf numFmtId="0" fontId="24" fillId="0" borderId="4" xfId="16" applyFont="1" applyFill="1" applyBorder="1"/>
    <xf numFmtId="2" fontId="8" fillId="0" borderId="2" xfId="4" applyNumberFormat="1" applyFont="1" applyFill="1" applyBorder="1" applyAlignment="1">
      <alignment horizontal="center"/>
    </xf>
    <xf numFmtId="2" fontId="8" fillId="0" borderId="3" xfId="0" applyNumberFormat="1" applyFont="1" applyFill="1" applyBorder="1" applyAlignment="1">
      <alignment horizontal="center"/>
    </xf>
    <xf numFmtId="2" fontId="8" fillId="0" borderId="5" xfId="0" applyNumberFormat="1" applyFont="1" applyFill="1" applyBorder="1" applyAlignment="1">
      <alignment horizontal="center"/>
    </xf>
    <xf numFmtId="2" fontId="8" fillId="0" borderId="5" xfId="4" applyNumberFormat="1" applyFont="1" applyFill="1" applyBorder="1" applyAlignment="1">
      <alignment horizontal="center"/>
    </xf>
    <xf numFmtId="0" fontId="20" fillId="0" borderId="0" xfId="3" applyFont="1" applyFill="1" applyBorder="1" applyAlignment="1">
      <alignment vertical="center"/>
    </xf>
    <xf numFmtId="0" fontId="21" fillId="0" borderId="0" xfId="3" applyFont="1"/>
    <xf numFmtId="0" fontId="21" fillId="0" borderId="0" xfId="3" applyFont="1" applyAlignment="1">
      <alignment horizontal="right"/>
    </xf>
    <xf numFmtId="0" fontId="20" fillId="0" borderId="0" xfId="3" applyFont="1" applyAlignment="1">
      <alignment horizontal="right"/>
    </xf>
    <xf numFmtId="164" fontId="34" fillId="0" borderId="0" xfId="19" applyNumberFormat="1" applyFont="1" applyFill="1" applyBorder="1" applyAlignment="1" applyProtection="1">
      <protection locked="0"/>
    </xf>
    <xf numFmtId="164" fontId="20" fillId="0" borderId="0" xfId="4" applyNumberFormat="1" applyFont="1" applyFill="1" applyBorder="1" applyAlignment="1" applyProtection="1">
      <protection locked="0"/>
    </xf>
    <xf numFmtId="0" fontId="21" fillId="3" borderId="0" xfId="3" applyFont="1" applyFill="1"/>
    <xf numFmtId="0" fontId="14" fillId="0" borderId="0" xfId="19" applyFont="1" applyAlignment="1" applyProtection="1"/>
    <xf numFmtId="0" fontId="35" fillId="0" borderId="0" xfId="3" applyFont="1"/>
    <xf numFmtId="0" fontId="35" fillId="3" borderId="0" xfId="3" applyFont="1" applyFill="1"/>
    <xf numFmtId="0" fontId="36" fillId="3" borderId="0" xfId="3" applyFont="1" applyFill="1"/>
    <xf numFmtId="0" fontId="37" fillId="3" borderId="0" xfId="3" applyFont="1" applyFill="1" applyBorder="1" applyAlignment="1">
      <alignment horizontal="center" vertical="center" wrapText="1"/>
    </xf>
    <xf numFmtId="0" fontId="38" fillId="3" borderId="37" xfId="3" applyFont="1" applyFill="1" applyBorder="1" applyAlignment="1">
      <alignment horizontal="center"/>
    </xf>
    <xf numFmtId="0" fontId="38" fillId="3" borderId="37" xfId="3" applyFont="1" applyFill="1" applyBorder="1" applyAlignment="1">
      <alignment horizontal="center" wrapText="1"/>
    </xf>
    <xf numFmtId="0" fontId="38" fillId="0" borderId="0" xfId="3" applyFont="1" applyFill="1" applyBorder="1" applyAlignment="1">
      <alignment horizontal="center" vertical="center"/>
    </xf>
    <xf numFmtId="0" fontId="38" fillId="3" borderId="40" xfId="3" applyFont="1" applyFill="1" applyBorder="1" applyAlignment="1">
      <alignment horizontal="center"/>
    </xf>
    <xf numFmtId="0" fontId="9" fillId="0" borderId="0" xfId="3" applyFont="1" applyBorder="1" applyAlignment="1">
      <alignment horizontal="left"/>
    </xf>
    <xf numFmtId="0" fontId="9" fillId="0" borderId="0" xfId="3" applyFont="1" applyFill="1" applyBorder="1"/>
    <xf numFmtId="0" fontId="9" fillId="0" borderId="0" xfId="3" applyFont="1" applyFill="1" applyBorder="1" applyAlignment="1">
      <alignment horizontal="left"/>
    </xf>
    <xf numFmtId="0" fontId="38" fillId="0" borderId="37" xfId="3" applyFont="1" applyBorder="1" applyAlignment="1">
      <alignment horizontal="center" vertical="center" wrapText="1"/>
    </xf>
    <xf numFmtId="0" fontId="15" fillId="3" borderId="27" xfId="3" applyFont="1" applyFill="1" applyBorder="1" applyAlignment="1">
      <alignment horizontal="center" vertical="center"/>
    </xf>
    <xf numFmtId="0" fontId="36" fillId="0" borderId="0" xfId="3" applyFont="1" applyBorder="1" applyAlignment="1">
      <alignment vertical="center" wrapText="1"/>
    </xf>
    <xf numFmtId="0" fontId="15" fillId="3" borderId="42" xfId="3" applyFont="1" applyFill="1" applyBorder="1" applyAlignment="1">
      <alignment horizontal="center" vertical="center"/>
    </xf>
    <xf numFmtId="0" fontId="36" fillId="0" borderId="0" xfId="3" applyFont="1" applyFill="1" applyBorder="1" applyAlignment="1">
      <alignment vertical="center" wrapText="1"/>
    </xf>
    <xf numFmtId="0" fontId="38" fillId="3" borderId="37" xfId="3" applyFont="1" applyFill="1" applyBorder="1" applyAlignment="1">
      <alignment horizontal="center" vertical="center" wrapText="1"/>
    </xf>
    <xf numFmtId="0" fontId="35" fillId="0" borderId="32" xfId="3" applyFont="1" applyBorder="1" applyAlignment="1"/>
    <xf numFmtId="0" fontId="36" fillId="3" borderId="32" xfId="3" applyFont="1" applyFill="1" applyBorder="1" applyAlignment="1">
      <alignment horizontal="center"/>
    </xf>
    <xf numFmtId="0" fontId="35" fillId="0" borderId="27" xfId="3" applyFont="1" applyBorder="1" applyAlignment="1">
      <alignment horizontal="left" wrapText="1"/>
    </xf>
    <xf numFmtId="0" fontId="36" fillId="3" borderId="27" xfId="3" applyFont="1" applyFill="1" applyBorder="1" applyAlignment="1">
      <alignment horizontal="center"/>
    </xf>
    <xf numFmtId="0" fontId="9" fillId="0" borderId="27" xfId="3" applyFont="1" applyFill="1" applyBorder="1" applyAlignment="1">
      <alignment horizontal="left"/>
    </xf>
    <xf numFmtId="0" fontId="35" fillId="3" borderId="27" xfId="3" applyFont="1" applyFill="1" applyBorder="1" applyAlignment="1">
      <alignment horizontal="center"/>
    </xf>
    <xf numFmtId="0" fontId="9" fillId="0" borderId="27" xfId="3" applyFont="1" applyBorder="1" applyAlignment="1">
      <alignment horizontal="left"/>
    </xf>
    <xf numFmtId="0" fontId="35" fillId="0" borderId="28" xfId="3" applyFont="1" applyBorder="1" applyAlignment="1">
      <alignment horizontal="left" wrapText="1"/>
    </xf>
    <xf numFmtId="0" fontId="35" fillId="3" borderId="28" xfId="3" applyFont="1" applyFill="1" applyBorder="1" applyAlignment="1">
      <alignment horizontal="center"/>
    </xf>
    <xf numFmtId="0" fontId="35" fillId="0" borderId="0" xfId="3" applyFont="1" applyBorder="1" applyAlignment="1"/>
    <xf numFmtId="0" fontId="35" fillId="0" borderId="0" xfId="3" applyFont="1" applyBorder="1" applyAlignment="1">
      <alignment horizontal="center" vertical="center" wrapText="1"/>
    </xf>
    <xf numFmtId="0" fontId="35" fillId="3" borderId="0" xfId="3" applyFont="1" applyFill="1" applyBorder="1" applyAlignment="1">
      <alignment horizontal="center" vertical="center" wrapText="1"/>
    </xf>
    <xf numFmtId="0" fontId="35" fillId="0" borderId="0" xfId="3" applyFont="1" applyBorder="1" applyAlignment="1">
      <alignment horizontal="center" wrapText="1"/>
    </xf>
    <xf numFmtId="0" fontId="36" fillId="3" borderId="0" xfId="3" applyFont="1" applyFill="1" applyBorder="1" applyAlignment="1">
      <alignment horizontal="center"/>
    </xf>
    <xf numFmtId="0" fontId="39" fillId="0" borderId="0" xfId="3" applyFont="1" applyBorder="1" applyAlignment="1">
      <alignment vertical="top" wrapText="1"/>
    </xf>
    <xf numFmtId="0" fontId="35" fillId="0" borderId="0" xfId="3" applyFont="1" applyBorder="1" applyAlignment="1">
      <alignment wrapText="1"/>
    </xf>
    <xf numFmtId="0" fontId="35" fillId="0" borderId="0" xfId="3" applyFont="1" applyBorder="1" applyAlignment="1">
      <alignment horizontal="left" vertical="top" wrapText="1"/>
    </xf>
    <xf numFmtId="0" fontId="35" fillId="0" borderId="0" xfId="3" applyFont="1" applyAlignment="1">
      <alignment horizontal="right"/>
    </xf>
    <xf numFmtId="0" fontId="38" fillId="0" borderId="0" xfId="3" applyFont="1" applyBorder="1" applyAlignment="1">
      <alignment vertical="top"/>
    </xf>
    <xf numFmtId="0" fontId="41" fillId="0" borderId="0" xfId="20" applyFont="1" applyBorder="1" applyAlignment="1" applyProtection="1">
      <alignment vertical="top"/>
    </xf>
    <xf numFmtId="0" fontId="38" fillId="0" borderId="0" xfId="3" applyFont="1" applyBorder="1" applyAlignment="1">
      <alignment vertical="top" wrapText="1"/>
    </xf>
    <xf numFmtId="0" fontId="39" fillId="0" borderId="0" xfId="3" applyFont="1" applyBorder="1" applyAlignment="1">
      <alignment wrapText="1"/>
    </xf>
    <xf numFmtId="0" fontId="35" fillId="3" borderId="0" xfId="3" applyFont="1" applyFill="1" applyAlignment="1">
      <alignment wrapText="1"/>
    </xf>
    <xf numFmtId="0" fontId="15" fillId="3" borderId="29" xfId="3" applyFont="1" applyFill="1" applyBorder="1" applyAlignment="1">
      <alignment horizontal="center" vertical="center"/>
    </xf>
    <xf numFmtId="0" fontId="33" fillId="0" borderId="1" xfId="14" applyBorder="1" applyAlignment="1" applyProtection="1"/>
    <xf numFmtId="0" fontId="33" fillId="0" borderId="26" xfId="14" applyBorder="1" applyAlignment="1" applyProtection="1"/>
    <xf numFmtId="0" fontId="15" fillId="0" borderId="16" xfId="0" applyFont="1" applyBorder="1"/>
    <xf numFmtId="0" fontId="15" fillId="0" borderId="1" xfId="12" applyFont="1" applyBorder="1"/>
    <xf numFmtId="15" fontId="15" fillId="0" borderId="1" xfId="12" applyNumberFormat="1" applyFont="1" applyBorder="1" applyAlignment="1">
      <alignment horizontal="center"/>
    </xf>
    <xf numFmtId="0" fontId="33" fillId="0" borderId="18" xfId="14" applyBorder="1" applyAlignment="1" applyProtection="1"/>
    <xf numFmtId="0" fontId="33" fillId="0" borderId="13" xfId="14" applyBorder="1" applyAlignment="1" applyProtection="1"/>
    <xf numFmtId="0" fontId="8" fillId="0" borderId="1" xfId="4" applyFont="1" applyFill="1" applyBorder="1" applyAlignment="1">
      <alignment horizontal="right"/>
    </xf>
    <xf numFmtId="9" fontId="8" fillId="0" borderId="0" xfId="9" applyFont="1" applyBorder="1"/>
    <xf numFmtId="0" fontId="8" fillId="0" borderId="0" xfId="4" applyFont="1" applyFill="1"/>
    <xf numFmtId="0" fontId="10" fillId="0" borderId="4" xfId="25" applyFont="1" applyFill="1" applyBorder="1"/>
    <xf numFmtId="0" fontId="9" fillId="0" borderId="4" xfId="12" applyFont="1" applyFill="1" applyBorder="1"/>
    <xf numFmtId="0" fontId="39" fillId="0" borderId="3" xfId="12" applyFont="1" applyFill="1" applyBorder="1" applyAlignment="1">
      <alignment horizontal="center"/>
    </xf>
    <xf numFmtId="0" fontId="39" fillId="0" borderId="3" xfId="12" applyNumberFormat="1" applyFont="1" applyFill="1" applyBorder="1" applyAlignment="1">
      <alignment horizontal="center"/>
    </xf>
    <xf numFmtId="0" fontId="9" fillId="0" borderId="3" xfId="12" applyNumberFormat="1" applyFont="1" applyFill="1" applyBorder="1"/>
    <xf numFmtId="0" fontId="9" fillId="0" borderId="3" xfId="12" applyFont="1" applyFill="1" applyBorder="1"/>
    <xf numFmtId="0" fontId="9" fillId="0" borderId="5" xfId="12" applyFont="1" applyFill="1" applyBorder="1"/>
    <xf numFmtId="0" fontId="9" fillId="0" borderId="0" xfId="12" applyFont="1" applyFill="1"/>
    <xf numFmtId="0" fontId="9" fillId="0" borderId="0" xfId="12" applyFont="1"/>
    <xf numFmtId="9" fontId="8" fillId="0" borderId="9" xfId="4" applyNumberFormat="1" applyFont="1" applyBorder="1"/>
    <xf numFmtId="0" fontId="22" fillId="0" borderId="0" xfId="12" applyFont="1" applyFill="1"/>
    <xf numFmtId="9" fontId="8" fillId="0" borderId="1" xfId="4" applyNumberFormat="1" applyFont="1" applyBorder="1"/>
    <xf numFmtId="0" fontId="13" fillId="0" borderId="0" xfId="26" applyFont="1" applyFill="1" applyAlignment="1" applyProtection="1"/>
    <xf numFmtId="0" fontId="43" fillId="0" borderId="0" xfId="12" applyFont="1"/>
    <xf numFmtId="0" fontId="20" fillId="0" borderId="0" xfId="12" applyFont="1" applyAlignment="1">
      <alignment horizontal="right"/>
    </xf>
    <xf numFmtId="0" fontId="38" fillId="0" borderId="0" xfId="12" applyNumberFormat="1" applyFont="1" applyAlignment="1">
      <alignment horizontal="center"/>
    </xf>
    <xf numFmtId="0" fontId="43" fillId="0" borderId="0" xfId="12" applyNumberFormat="1" applyFont="1"/>
    <xf numFmtId="0" fontId="9" fillId="0" borderId="0" xfId="12" applyFont="1" applyAlignment="1">
      <alignment horizontal="right"/>
    </xf>
    <xf numFmtId="1" fontId="8" fillId="0" borderId="0" xfId="12" applyNumberFormat="1" applyFont="1" applyFill="1" applyAlignment="1">
      <alignment horizontal="left"/>
    </xf>
    <xf numFmtId="0" fontId="8" fillId="0" borderId="0" xfId="12" applyFont="1"/>
    <xf numFmtId="0" fontId="39" fillId="0" borderId="0" xfId="12" applyFont="1" applyAlignment="1">
      <alignment horizontal="center"/>
    </xf>
    <xf numFmtId="0" fontId="39" fillId="0" borderId="0" xfId="12" applyNumberFormat="1" applyFont="1" applyAlignment="1">
      <alignment horizontal="center"/>
    </xf>
    <xf numFmtId="0" fontId="9" fillId="0" borderId="0" xfId="12" applyNumberFormat="1" applyFont="1"/>
    <xf numFmtId="0" fontId="8" fillId="0" borderId="0" xfId="12" applyFont="1" applyAlignment="1">
      <alignment horizontal="right"/>
    </xf>
    <xf numFmtId="1" fontId="8" fillId="0" borderId="0" xfId="12" applyNumberFormat="1" applyFont="1" applyFill="1" applyAlignment="1">
      <alignment horizontal="center"/>
    </xf>
    <xf numFmtId="0" fontId="8" fillId="0" borderId="0" xfId="12" applyFont="1" applyAlignment="1">
      <alignment horizontal="center"/>
    </xf>
    <xf numFmtId="1" fontId="9" fillId="0" borderId="0" xfId="12" applyNumberFormat="1" applyFont="1" applyFill="1" applyAlignment="1">
      <alignment horizontal="left"/>
    </xf>
    <xf numFmtId="0" fontId="8" fillId="3" borderId="5" xfId="4" applyFont="1" applyFill="1" applyBorder="1" applyAlignment="1">
      <alignment horizontal="center" textRotation="90" wrapText="1"/>
    </xf>
    <xf numFmtId="0" fontId="8" fillId="3" borderId="1" xfId="4" applyFont="1" applyFill="1" applyBorder="1" applyAlignment="1">
      <alignment horizontal="center"/>
    </xf>
    <xf numFmtId="0" fontId="8" fillId="3" borderId="5" xfId="4" applyFont="1" applyFill="1" applyBorder="1" applyAlignment="1">
      <alignment horizontal="center"/>
    </xf>
    <xf numFmtId="0" fontId="39" fillId="0" borderId="0" xfId="12" applyFont="1"/>
    <xf numFmtId="0" fontId="39" fillId="0" borderId="0" xfId="12" applyNumberFormat="1" applyFont="1"/>
    <xf numFmtId="0" fontId="36" fillId="0" borderId="4" xfId="4" applyFont="1" applyFill="1" applyBorder="1"/>
    <xf numFmtId="0" fontId="8" fillId="0" borderId="4" xfId="12" applyFont="1" applyBorder="1" applyAlignment="1">
      <alignment horizontal="center"/>
    </xf>
    <xf numFmtId="0" fontId="8" fillId="0" borderId="1" xfId="12" applyFont="1" applyBorder="1" applyAlignment="1">
      <alignment horizontal="center"/>
    </xf>
    <xf numFmtId="0" fontId="39" fillId="0" borderId="0" xfId="12" applyFont="1" applyFill="1" applyAlignment="1">
      <alignment horizontal="center"/>
    </xf>
    <xf numFmtId="0" fontId="39" fillId="0" borderId="0" xfId="12" applyNumberFormat="1" applyFont="1" applyFill="1" applyAlignment="1">
      <alignment horizontal="center"/>
    </xf>
    <xf numFmtId="0" fontId="9" fillId="0" borderId="0" xfId="12" applyNumberFormat="1" applyFont="1" applyFill="1"/>
    <xf numFmtId="2" fontId="9" fillId="0" borderId="1" xfId="27" applyNumberFormat="1" applyFont="1" applyFill="1" applyBorder="1" applyAlignment="1">
      <alignment horizontal="center"/>
    </xf>
    <xf numFmtId="0" fontId="44" fillId="0" borderId="0" xfId="12" applyFont="1" applyFill="1" applyAlignment="1">
      <alignment horizontal="center"/>
    </xf>
    <xf numFmtId="0" fontId="44" fillId="0" borderId="0" xfId="12" applyNumberFormat="1" applyFont="1" applyFill="1" applyAlignment="1">
      <alignment horizontal="center"/>
    </xf>
    <xf numFmtId="0" fontId="22" fillId="0" borderId="0" xfId="12" applyNumberFormat="1" applyFont="1" applyFill="1"/>
    <xf numFmtId="0" fontId="35" fillId="0" borderId="4" xfId="16" applyFont="1" applyFill="1" applyBorder="1"/>
    <xf numFmtId="0" fontId="38" fillId="3" borderId="42" xfId="3" applyFont="1" applyFill="1" applyBorder="1" applyAlignment="1">
      <alignment horizontal="center" vertical="center" wrapText="1"/>
    </xf>
    <xf numFmtId="0" fontId="15" fillId="0" borderId="37" xfId="3" applyFont="1" applyBorder="1" applyAlignment="1">
      <alignment horizontal="center" vertical="center" wrapText="1"/>
    </xf>
    <xf numFmtId="0" fontId="15" fillId="0" borderId="1" xfId="0" applyFont="1" applyBorder="1" applyAlignment="1">
      <alignment horizontal="left" vertical="center"/>
    </xf>
    <xf numFmtId="0" fontId="15" fillId="0" borderId="1" xfId="0" applyFont="1" applyFill="1" applyBorder="1" applyAlignment="1">
      <alignment horizontal="left" vertical="center"/>
    </xf>
    <xf numFmtId="0" fontId="15" fillId="0" borderId="1" xfId="0" applyFont="1" applyBorder="1" applyAlignment="1">
      <alignment horizontal="left"/>
    </xf>
    <xf numFmtId="0" fontId="15" fillId="0" borderId="1" xfId="0" applyFont="1" applyBorder="1" applyAlignment="1">
      <alignment vertical="center" wrapText="1"/>
    </xf>
    <xf numFmtId="0" fontId="35" fillId="0" borderId="0" xfId="16" applyFont="1" applyFill="1" applyBorder="1"/>
    <xf numFmtId="0" fontId="45" fillId="15" borderId="37" xfId="0" applyFont="1" applyFill="1" applyBorder="1" applyAlignment="1">
      <alignment horizontal="center" vertical="center"/>
    </xf>
    <xf numFmtId="0" fontId="45" fillId="15" borderId="42" xfId="0" applyFont="1" applyFill="1" applyBorder="1" applyAlignment="1">
      <alignment horizontal="center" vertical="center"/>
    </xf>
    <xf numFmtId="0" fontId="45" fillId="15" borderId="42" xfId="0" applyFont="1" applyFill="1" applyBorder="1" applyAlignment="1">
      <alignment horizontal="center" vertical="center" wrapText="1"/>
    </xf>
    <xf numFmtId="0" fontId="45" fillId="0" borderId="37" xfId="0" applyFont="1" applyBorder="1" applyAlignment="1">
      <alignment horizontal="center" vertical="center"/>
    </xf>
    <xf numFmtId="0" fontId="45" fillId="15" borderId="32" xfId="0" applyFont="1" applyFill="1" applyBorder="1" applyAlignment="1">
      <alignment horizontal="center" vertical="center"/>
    </xf>
    <xf numFmtId="0" fontId="45" fillId="15" borderId="32" xfId="0" applyFont="1" applyFill="1" applyBorder="1" applyAlignment="1">
      <alignment horizontal="center" vertical="center" wrapText="1"/>
    </xf>
    <xf numFmtId="0" fontId="45" fillId="15" borderId="27" xfId="0" applyFont="1" applyFill="1" applyBorder="1" applyAlignment="1">
      <alignment horizontal="center" vertical="center" wrapText="1"/>
    </xf>
    <xf numFmtId="0" fontId="45" fillId="15" borderId="27" xfId="0" applyFont="1" applyFill="1" applyBorder="1" applyAlignment="1">
      <alignment horizontal="center" vertical="center"/>
    </xf>
    <xf numFmtId="0" fontId="45" fillId="15" borderId="28" xfId="0" applyFont="1" applyFill="1" applyBorder="1" applyAlignment="1">
      <alignment horizontal="center" vertical="center"/>
    </xf>
    <xf numFmtId="0" fontId="38" fillId="0" borderId="37" xfId="3" applyFont="1" applyFill="1" applyBorder="1" applyAlignment="1">
      <alignment horizontal="center" vertical="center" wrapText="1"/>
    </xf>
    <xf numFmtId="0" fontId="45" fillId="15" borderId="29" xfId="0" applyFont="1" applyFill="1" applyBorder="1" applyAlignment="1">
      <alignment horizontal="center" vertical="center"/>
    </xf>
    <xf numFmtId="0" fontId="9" fillId="0" borderId="0" xfId="12" applyNumberFormat="1" applyFont="1" applyFill="1" applyBorder="1"/>
    <xf numFmtId="0" fontId="9" fillId="0" borderId="0" xfId="12" applyFont="1" applyFill="1" applyBorder="1"/>
    <xf numFmtId="9" fontId="8" fillId="0" borderId="0" xfId="4" applyNumberFormat="1" applyFont="1" applyFill="1" applyBorder="1"/>
    <xf numFmtId="0" fontId="39" fillId="0" borderId="0" xfId="12" applyNumberFormat="1" applyFont="1" applyFill="1" applyBorder="1" applyAlignment="1">
      <alignment horizontal="center"/>
    </xf>
    <xf numFmtId="9" fontId="8" fillId="0" borderId="0" xfId="4" applyNumberFormat="1" applyFont="1" applyBorder="1"/>
    <xf numFmtId="0" fontId="39" fillId="0" borderId="5" xfId="12" applyNumberFormat="1" applyFont="1" applyFill="1" applyBorder="1" applyAlignment="1">
      <alignment horizontal="center"/>
    </xf>
    <xf numFmtId="0" fontId="17" fillId="0" borderId="37" xfId="0" applyFont="1" applyBorder="1" applyAlignment="1">
      <alignment horizontal="center"/>
    </xf>
    <xf numFmtId="9" fontId="8" fillId="0" borderId="2" xfId="9" applyFont="1" applyFill="1" applyBorder="1" applyAlignment="1">
      <alignment horizontal="center"/>
    </xf>
    <xf numFmtId="2" fontId="8" fillId="0" borderId="0" xfId="0" applyNumberFormat="1" applyFont="1" applyFill="1" applyBorder="1" applyAlignment="1">
      <alignment horizontal="center"/>
    </xf>
    <xf numFmtId="0" fontId="15" fillId="3" borderId="0" xfId="3" applyFont="1" applyFill="1" applyBorder="1" applyAlignment="1">
      <alignment horizontal="center" vertical="center"/>
    </xf>
    <xf numFmtId="0" fontId="15" fillId="0" borderId="4" xfId="0" applyFont="1" applyBorder="1"/>
    <xf numFmtId="0" fontId="15" fillId="0" borderId="31" xfId="0" applyFont="1" applyBorder="1"/>
    <xf numFmtId="0" fontId="21" fillId="0" borderId="0" xfId="0" applyFont="1" applyFill="1" applyAlignment="1">
      <alignment horizontal="right"/>
    </xf>
    <xf numFmtId="0" fontId="21" fillId="3" borderId="0" xfId="0" applyFont="1" applyFill="1" applyAlignment="1">
      <alignment horizontal="left"/>
    </xf>
    <xf numFmtId="2" fontId="21" fillId="3" borderId="0" xfId="0" applyNumberFormat="1" applyFont="1" applyFill="1" applyAlignment="1">
      <alignment horizontal="left"/>
    </xf>
    <xf numFmtId="0" fontId="21" fillId="0" borderId="0" xfId="12" applyFont="1" applyAlignment="1">
      <alignment horizontal="left"/>
    </xf>
    <xf numFmtId="0" fontId="21" fillId="0" borderId="0" xfId="12" applyFont="1" applyAlignment="1">
      <alignment horizontal="right"/>
    </xf>
    <xf numFmtId="164" fontId="15" fillId="0" borderId="48" xfId="0" applyNumberFormat="1" applyFont="1" applyBorder="1"/>
    <xf numFmtId="164" fontId="15" fillId="0" borderId="49" xfId="0" applyNumberFormat="1" applyFont="1" applyBorder="1"/>
    <xf numFmtId="15" fontId="15" fillId="0" borderId="49" xfId="0" applyNumberFormat="1" applyFont="1" applyBorder="1"/>
    <xf numFmtId="2" fontId="15" fillId="0" borderId="26" xfId="0" applyNumberFormat="1" applyFont="1" applyBorder="1"/>
    <xf numFmtId="2" fontId="15" fillId="0" borderId="1" xfId="0" applyNumberFormat="1" applyFont="1" applyBorder="1"/>
    <xf numFmtId="0" fontId="15" fillId="3" borderId="32" xfId="3" applyFont="1" applyFill="1" applyBorder="1" applyAlignment="1">
      <alignment horizontal="left" vertical="center"/>
    </xf>
    <xf numFmtId="0" fontId="15" fillId="3" borderId="41" xfId="3" applyFont="1" applyFill="1" applyBorder="1" applyAlignment="1">
      <alignment horizontal="left" vertical="center"/>
    </xf>
    <xf numFmtId="0" fontId="15" fillId="3" borderId="32" xfId="3" applyFont="1" applyFill="1" applyBorder="1" applyAlignment="1">
      <alignment horizontal="left" vertical="center" wrapText="1"/>
    </xf>
    <xf numFmtId="0" fontId="15" fillId="3" borderId="29" xfId="3" applyFont="1" applyFill="1" applyBorder="1" applyAlignment="1">
      <alignment horizontal="left" vertical="center" wrapText="1"/>
    </xf>
    <xf numFmtId="0" fontId="15" fillId="3" borderId="27" xfId="3" applyFont="1" applyFill="1" applyBorder="1" applyAlignment="1">
      <alignment horizontal="left" vertical="center"/>
    </xf>
    <xf numFmtId="0" fontId="15" fillId="3" borderId="42" xfId="3" applyFont="1" applyFill="1" applyBorder="1" applyAlignment="1">
      <alignment horizontal="left" vertical="center"/>
    </xf>
    <xf numFmtId="0" fontId="15" fillId="3" borderId="37" xfId="3" applyFont="1" applyFill="1" applyBorder="1" applyAlignment="1">
      <alignment horizontal="left" vertical="center"/>
    </xf>
    <xf numFmtId="0" fontId="15" fillId="3" borderId="28" xfId="3" applyFont="1" applyFill="1" applyBorder="1" applyAlignment="1">
      <alignment horizontal="left" vertical="center"/>
    </xf>
    <xf numFmtId="0" fontId="15" fillId="3" borderId="29" xfId="3" applyFont="1" applyFill="1" applyBorder="1" applyAlignment="1">
      <alignment horizontal="left" vertical="center"/>
    </xf>
    <xf numFmtId="0" fontId="15" fillId="3" borderId="43" xfId="3" applyFont="1" applyFill="1" applyBorder="1" applyAlignment="1">
      <alignment horizontal="left" vertical="center"/>
    </xf>
    <xf numFmtId="0" fontId="15" fillId="3" borderId="44" xfId="3" applyFont="1" applyFill="1" applyBorder="1" applyAlignment="1">
      <alignment horizontal="left" vertical="center"/>
    </xf>
    <xf numFmtId="164" fontId="46" fillId="0" borderId="0" xfId="14" applyNumberFormat="1" applyFont="1" applyFill="1" applyBorder="1" applyAlignment="1" applyProtection="1">
      <protection locked="0"/>
    </xf>
    <xf numFmtId="0" fontId="18" fillId="0" borderId="37" xfId="0" applyFont="1" applyBorder="1" applyAlignment="1">
      <alignment horizontal="center"/>
    </xf>
    <xf numFmtId="168" fontId="8" fillId="0" borderId="3" xfId="0" applyNumberFormat="1" applyFont="1" applyFill="1" applyBorder="1" applyAlignment="1">
      <alignment horizontal="center"/>
    </xf>
    <xf numFmtId="0" fontId="8" fillId="0" borderId="4" xfId="4" applyFont="1" applyFill="1" applyBorder="1" applyAlignment="1">
      <alignment horizontal="right"/>
    </xf>
    <xf numFmtId="9" fontId="8" fillId="0" borderId="8" xfId="9" applyFont="1" applyFill="1" applyBorder="1" applyAlignment="1">
      <alignment horizontal="center"/>
    </xf>
    <xf numFmtId="0" fontId="8" fillId="0" borderId="4" xfId="4" applyFont="1" applyFill="1" applyBorder="1"/>
    <xf numFmtId="0" fontId="15" fillId="0" borderId="1" xfId="0" applyFont="1" applyBorder="1" applyAlignment="1">
      <alignment wrapText="1"/>
    </xf>
    <xf numFmtId="0" fontId="15" fillId="0" borderId="1" xfId="0" applyFont="1" applyBorder="1" applyAlignment="1">
      <alignment vertical="center"/>
    </xf>
    <xf numFmtId="0" fontId="48" fillId="8" borderId="1" xfId="29" applyFont="1" applyFill="1" applyBorder="1"/>
    <xf numFmtId="0" fontId="47" fillId="8" borderId="1" xfId="29" applyFont="1" applyFill="1" applyBorder="1" applyAlignment="1">
      <alignment horizontal="center"/>
    </xf>
    <xf numFmtId="0" fontId="49" fillId="3" borderId="0" xfId="14" applyFont="1" applyFill="1" applyAlignment="1" applyProtection="1"/>
    <xf numFmtId="0" fontId="50" fillId="0" borderId="0" xfId="12" applyFont="1"/>
    <xf numFmtId="0" fontId="50" fillId="0" borderId="1" xfId="12" applyFont="1" applyBorder="1"/>
    <xf numFmtId="9" fontId="9" fillId="0" borderId="1" xfId="9" applyFont="1" applyBorder="1"/>
    <xf numFmtId="2" fontId="9" fillId="0" borderId="0" xfId="0" applyNumberFormat="1" applyFont="1"/>
    <xf numFmtId="2" fontId="8" fillId="0" borderId="1" xfId="0" applyNumberFormat="1" applyFont="1" applyBorder="1" applyAlignment="1">
      <alignment horizontal="center"/>
    </xf>
    <xf numFmtId="2" fontId="8" fillId="0" borderId="1" xfId="0" applyNumberFormat="1" applyFont="1" applyBorder="1" applyAlignment="1">
      <alignment horizontal="center" vertical="center"/>
    </xf>
    <xf numFmtId="2" fontId="8" fillId="12" borderId="51" xfId="16" applyNumberFormat="1" applyFont="1" applyFill="1" applyBorder="1" applyAlignment="1">
      <alignment horizontal="center"/>
    </xf>
    <xf numFmtId="2" fontId="8" fillId="13" borderId="51" xfId="16" applyNumberFormat="1" applyFont="1" applyFill="1" applyBorder="1" applyAlignment="1">
      <alignment horizontal="center"/>
    </xf>
    <xf numFmtId="2" fontId="8" fillId="14" borderId="51" xfId="16" applyNumberFormat="1" applyFont="1" applyFill="1" applyBorder="1" applyAlignment="1">
      <alignment horizontal="center"/>
    </xf>
    <xf numFmtId="2" fontId="8" fillId="14" borderId="52" xfId="16" applyNumberFormat="1" applyFont="1" applyFill="1" applyBorder="1" applyAlignment="1">
      <alignment horizontal="center"/>
    </xf>
    <xf numFmtId="165" fontId="49" fillId="0" borderId="0" xfId="14" applyNumberFormat="1" applyFont="1" applyFill="1" applyAlignment="1" applyProtection="1"/>
    <xf numFmtId="15" fontId="51" fillId="0" borderId="0" xfId="29" applyNumberFormat="1" applyFont="1"/>
    <xf numFmtId="0" fontId="8" fillId="0" borderId="4" xfId="0" applyFont="1" applyFill="1" applyBorder="1"/>
    <xf numFmtId="0" fontId="8" fillId="0" borderId="1" xfId="12" applyFont="1" applyFill="1" applyBorder="1" applyAlignment="1">
      <alignment horizontal="center"/>
    </xf>
    <xf numFmtId="0" fontId="8" fillId="0" borderId="9" xfId="12" applyFont="1" applyFill="1" applyBorder="1" applyAlignment="1">
      <alignment horizontal="center"/>
    </xf>
    <xf numFmtId="0" fontId="12" fillId="0" borderId="0" xfId="12" applyFont="1" applyAlignment="1">
      <alignment horizontal="left"/>
    </xf>
    <xf numFmtId="0" fontId="52" fillId="0" borderId="0" xfId="26" applyFont="1" applyFill="1" applyAlignment="1" applyProtection="1"/>
    <xf numFmtId="0" fontId="12" fillId="0" borderId="0" xfId="12" applyFont="1" applyAlignment="1">
      <alignment horizontal="right"/>
    </xf>
    <xf numFmtId="164" fontId="12" fillId="0" borderId="0" xfId="12" applyNumberFormat="1" applyFont="1" applyAlignment="1">
      <alignment horizontal="left"/>
    </xf>
    <xf numFmtId="0" fontId="12" fillId="0" borderId="0" xfId="12" applyNumberFormat="1" applyFont="1" applyAlignment="1">
      <alignment horizontal="center"/>
    </xf>
    <xf numFmtId="0" fontId="8" fillId="0" borderId="0" xfId="12" applyNumberFormat="1" applyFont="1"/>
    <xf numFmtId="0" fontId="8" fillId="0" borderId="0" xfId="12" applyFont="1" applyAlignment="1">
      <alignment horizontal="left"/>
    </xf>
    <xf numFmtId="0" fontId="12" fillId="0" borderId="0" xfId="12" applyFont="1" applyAlignment="1">
      <alignment horizontal="center"/>
    </xf>
    <xf numFmtId="2" fontId="8" fillId="0" borderId="1" xfId="27" applyNumberFormat="1" applyFont="1" applyFill="1" applyBorder="1" applyAlignment="1">
      <alignment horizontal="center"/>
    </xf>
    <xf numFmtId="2" fontId="8" fillId="0" borderId="2" xfId="27" applyNumberFormat="1" applyFont="1" applyFill="1" applyBorder="1" applyAlignment="1">
      <alignment horizontal="center"/>
    </xf>
    <xf numFmtId="0" fontId="35" fillId="0" borderId="4" xfId="16" applyFont="1" applyBorder="1"/>
    <xf numFmtId="0" fontId="1" fillId="0" borderId="0" xfId="29" applyFont="1"/>
    <xf numFmtId="9" fontId="1" fillId="0" borderId="1" xfId="29" applyNumberFormat="1" applyFont="1" applyBorder="1"/>
    <xf numFmtId="0" fontId="35" fillId="0" borderId="50" xfId="12" applyFont="1" applyBorder="1" applyAlignment="1">
      <alignment horizontal="left" vertical="center" wrapText="1"/>
    </xf>
    <xf numFmtId="0" fontId="35" fillId="0" borderId="1" xfId="12" applyFont="1" applyBorder="1" applyAlignment="1">
      <alignment horizontal="left" vertical="center" wrapText="1"/>
    </xf>
    <xf numFmtId="0" fontId="35" fillId="0" borderId="4" xfId="12" applyFont="1" applyBorder="1" applyAlignment="1">
      <alignment horizontal="left" vertical="center" wrapText="1"/>
    </xf>
    <xf numFmtId="0" fontId="1" fillId="0" borderId="1" xfId="29" applyFont="1" applyBorder="1"/>
    <xf numFmtId="0" fontId="30" fillId="0" borderId="0" xfId="28" applyFont="1" applyAlignment="1">
      <alignment horizontal="right" vertical="center"/>
    </xf>
    <xf numFmtId="15" fontId="30" fillId="0" borderId="0" xfId="28" applyNumberFormat="1" applyFont="1" applyAlignment="1">
      <alignment horizontal="left" vertical="center"/>
    </xf>
    <xf numFmtId="0" fontId="27" fillId="0" borderId="0" xfId="17" applyAlignment="1" applyProtection="1">
      <alignment horizontal="center" vertical="center"/>
    </xf>
    <xf numFmtId="0" fontId="5" fillId="0" borderId="0" xfId="28" applyFont="1"/>
    <xf numFmtId="0" fontId="5" fillId="0" borderId="0" xfId="28" applyFont="1" applyAlignment="1">
      <alignment horizontal="center" vertical="center" wrapText="1"/>
    </xf>
    <xf numFmtId="0" fontId="32" fillId="0" borderId="0" xfId="28" applyFont="1" applyAlignment="1">
      <alignment horizontal="center" vertical="center"/>
    </xf>
    <xf numFmtId="0" fontId="54" fillId="0" borderId="0" xfId="28" applyFont="1" applyAlignment="1">
      <alignment horizontal="center" vertical="center" wrapText="1"/>
    </xf>
    <xf numFmtId="0" fontId="55" fillId="0" borderId="2" xfId="24" applyFont="1" applyBorder="1" applyAlignment="1">
      <alignment horizontal="center" vertical="center" textRotation="180"/>
    </xf>
    <xf numFmtId="0" fontId="55" fillId="8" borderId="2" xfId="24" applyFont="1" applyFill="1" applyBorder="1" applyAlignment="1">
      <alignment horizontal="center" vertical="center" textRotation="180"/>
    </xf>
    <xf numFmtId="0" fontId="31" fillId="0" borderId="18" xfId="28" applyFont="1" applyBorder="1"/>
    <xf numFmtId="0" fontId="31" fillId="0" borderId="26" xfId="28" applyFont="1" applyBorder="1"/>
    <xf numFmtId="0" fontId="31" fillId="0" borderId="26" xfId="24" applyFont="1" applyBorder="1" applyAlignment="1">
      <alignment horizontal="center" vertical="center"/>
    </xf>
    <xf numFmtId="0" fontId="31" fillId="0" borderId="19" xfId="24" applyFont="1" applyBorder="1" applyAlignment="1">
      <alignment horizontal="center" vertical="center"/>
    </xf>
    <xf numFmtId="0" fontId="3" fillId="0" borderId="0" xfId="28"/>
    <xf numFmtId="0" fontId="31" fillId="0" borderId="13" xfId="28" applyFont="1" applyBorder="1"/>
    <xf numFmtId="0" fontId="31" fillId="0" borderId="1" xfId="28" applyFont="1" applyBorder="1"/>
    <xf numFmtId="0" fontId="31" fillId="0" borderId="1" xfId="24" applyFont="1" applyBorder="1" applyAlignment="1">
      <alignment horizontal="center" vertical="center"/>
    </xf>
    <xf numFmtId="0" fontId="31" fillId="0" borderId="14" xfId="24" applyFont="1" applyBorder="1" applyAlignment="1">
      <alignment horizontal="center" vertical="center"/>
    </xf>
    <xf numFmtId="0" fontId="31" fillId="0" borderId="20" xfId="28" applyFont="1" applyBorder="1"/>
    <xf numFmtId="0" fontId="31" fillId="0" borderId="16" xfId="28" applyFont="1" applyBorder="1" applyAlignment="1">
      <alignment wrapText="1"/>
    </xf>
    <xf numFmtId="0" fontId="31" fillId="0" borderId="16" xfId="24" applyFont="1" applyBorder="1" applyAlignment="1">
      <alignment horizontal="center" vertical="center"/>
    </xf>
    <xf numFmtId="0" fontId="31" fillId="0" borderId="17" xfId="24" applyFont="1" applyBorder="1" applyAlignment="1">
      <alignment horizontal="center" vertical="center"/>
    </xf>
    <xf numFmtId="0" fontId="57" fillId="17" borderId="0" xfId="28" applyFont="1" applyFill="1"/>
    <xf numFmtId="0" fontId="31" fillId="0" borderId="53" xfId="28" applyFont="1" applyBorder="1"/>
    <xf numFmtId="0" fontId="31" fillId="0" borderId="51" xfId="28" applyFont="1" applyBorder="1" applyAlignment="1">
      <alignment wrapText="1"/>
    </xf>
    <xf numFmtId="0" fontId="31" fillId="0" borderId="51" xfId="24" applyFont="1" applyBorder="1" applyAlignment="1">
      <alignment horizontal="center" vertical="center"/>
    </xf>
    <xf numFmtId="0" fontId="31" fillId="0" borderId="1" xfId="28" applyFont="1" applyBorder="1" applyAlignment="1">
      <alignment wrapText="1"/>
    </xf>
    <xf numFmtId="0" fontId="31" fillId="0" borderId="52" xfId="24" applyFont="1" applyBorder="1" applyAlignment="1">
      <alignment horizontal="center" vertical="center"/>
    </xf>
    <xf numFmtId="2" fontId="9" fillId="0" borderId="5" xfId="27" applyNumberFormat="1" applyFont="1" applyFill="1" applyBorder="1" applyAlignment="1">
      <alignment horizontal="center"/>
    </xf>
    <xf numFmtId="2" fontId="9" fillId="0" borderId="3" xfId="27" applyNumberFormat="1" applyFont="1" applyFill="1" applyBorder="1" applyAlignment="1">
      <alignment horizontal="center"/>
    </xf>
    <xf numFmtId="0" fontId="8" fillId="0" borderId="25" xfId="0" applyFont="1" applyFill="1" applyBorder="1"/>
    <xf numFmtId="0" fontId="39" fillId="0" borderId="54" xfId="12" applyFont="1" applyFill="1" applyBorder="1" applyAlignment="1">
      <alignment horizontal="center"/>
    </xf>
    <xf numFmtId="0" fontId="9" fillId="8" borderId="2" xfId="12" applyFont="1" applyFill="1" applyBorder="1"/>
    <xf numFmtId="0" fontId="9" fillId="8" borderId="6" xfId="12" applyFont="1" applyFill="1" applyBorder="1"/>
    <xf numFmtId="0" fontId="9" fillId="8" borderId="9" xfId="12" applyFont="1" applyFill="1" applyBorder="1"/>
    <xf numFmtId="0" fontId="8" fillId="0" borderId="4" xfId="0" applyFont="1" applyFill="1" applyBorder="1" applyAlignment="1">
      <alignment horizontal="center"/>
    </xf>
    <xf numFmtId="0" fontId="8" fillId="0" borderId="3" xfId="0" applyFont="1" applyFill="1" applyBorder="1" applyAlignment="1">
      <alignment horizontal="center"/>
    </xf>
    <xf numFmtId="0" fontId="8" fillId="0" borderId="5" xfId="0" applyFont="1" applyFill="1" applyBorder="1" applyAlignment="1">
      <alignment horizontal="center"/>
    </xf>
    <xf numFmtId="0" fontId="8" fillId="0" borderId="4" xfId="4" applyFont="1" applyBorder="1" applyAlignment="1">
      <alignment horizontal="center"/>
    </xf>
    <xf numFmtId="0" fontId="8" fillId="0" borderId="5" xfId="4" applyFont="1" applyBorder="1" applyAlignment="1">
      <alignment horizontal="center"/>
    </xf>
    <xf numFmtId="0" fontId="38" fillId="0" borderId="40" xfId="3" applyFont="1" applyBorder="1" applyAlignment="1">
      <alignment horizontal="center" vertical="center" wrapText="1"/>
    </xf>
    <xf numFmtId="0" fontId="18" fillId="0" borderId="46" xfId="0" applyFont="1" applyBorder="1" applyAlignment="1">
      <alignment horizontal="center"/>
    </xf>
    <xf numFmtId="0" fontId="18" fillId="0" borderId="47" xfId="0" applyFont="1" applyBorder="1" applyAlignment="1">
      <alignment horizontal="center"/>
    </xf>
    <xf numFmtId="0" fontId="8" fillId="0" borderId="4" xfId="0" applyFont="1" applyFill="1" applyBorder="1" applyAlignment="1">
      <alignment horizontal="center"/>
    </xf>
    <xf numFmtId="0" fontId="8" fillId="0" borderId="3" xfId="0" applyFont="1" applyFill="1" applyBorder="1" applyAlignment="1">
      <alignment horizontal="center"/>
    </xf>
    <xf numFmtId="0" fontId="10" fillId="6" borderId="23" xfId="0" applyFont="1" applyFill="1" applyBorder="1" applyAlignment="1">
      <alignment horizontal="left"/>
    </xf>
    <xf numFmtId="0" fontId="10" fillId="6" borderId="30" xfId="0" applyFont="1" applyFill="1" applyBorder="1" applyAlignment="1">
      <alignment horizontal="left"/>
    </xf>
    <xf numFmtId="0" fontId="10" fillId="6" borderId="24" xfId="0" applyFont="1" applyFill="1" applyBorder="1" applyAlignment="1">
      <alignment horizontal="left"/>
    </xf>
    <xf numFmtId="0" fontId="10" fillId="8" borderId="23" xfId="12" applyFont="1" applyFill="1" applyBorder="1" applyAlignment="1">
      <alignment horizontal="left"/>
    </xf>
    <xf numFmtId="0" fontId="10" fillId="8" borderId="24" xfId="12" applyFont="1" applyFill="1" applyBorder="1" applyAlignment="1">
      <alignment horizontal="left"/>
    </xf>
    <xf numFmtId="0" fontId="24" fillId="8" borderId="22" xfId="12" applyFont="1" applyFill="1" applyBorder="1" applyAlignment="1">
      <alignment horizontal="left"/>
    </xf>
    <xf numFmtId="0" fontId="24" fillId="8" borderId="21" xfId="12" applyFont="1" applyFill="1" applyBorder="1" applyAlignment="1">
      <alignment horizontal="left"/>
    </xf>
    <xf numFmtId="0" fontId="8" fillId="0" borderId="5" xfId="0" applyFont="1" applyFill="1" applyBorder="1" applyAlignment="1">
      <alignment horizontal="center"/>
    </xf>
    <xf numFmtId="0" fontId="9" fillId="0" borderId="4" xfId="0" applyFont="1" applyFill="1" applyBorder="1" applyAlignment="1">
      <alignment horizontal="center"/>
    </xf>
    <xf numFmtId="0" fontId="9" fillId="0" borderId="3" xfId="0" applyFont="1" applyFill="1" applyBorder="1" applyAlignment="1">
      <alignment horizontal="center"/>
    </xf>
    <xf numFmtId="0" fontId="9" fillId="0" borderId="5" xfId="0" applyFont="1" applyFill="1" applyBorder="1" applyAlignment="1">
      <alignment horizontal="center"/>
    </xf>
    <xf numFmtId="164" fontId="20" fillId="0" borderId="0" xfId="0" applyNumberFormat="1" applyFont="1" applyFill="1" applyBorder="1" applyAlignment="1" applyProtection="1">
      <alignment horizontal="left"/>
      <protection locked="0"/>
    </xf>
    <xf numFmtId="164" fontId="21" fillId="0" borderId="0" xfId="0" applyNumberFormat="1" applyFont="1" applyFill="1" applyBorder="1" applyAlignment="1">
      <alignment horizontal="left"/>
    </xf>
    <xf numFmtId="0" fontId="21" fillId="0" borderId="0" xfId="0" applyFont="1" applyFill="1" applyBorder="1" applyAlignment="1">
      <alignment horizontal="left"/>
    </xf>
    <xf numFmtId="0" fontId="10" fillId="9" borderId="26" xfId="12" applyFont="1" applyFill="1" applyBorder="1" applyAlignment="1">
      <alignment horizontal="center"/>
    </xf>
    <xf numFmtId="0" fontId="10" fillId="10" borderId="26" xfId="12" applyFont="1" applyFill="1" applyBorder="1" applyAlignment="1">
      <alignment horizontal="center"/>
    </xf>
    <xf numFmtId="0" fontId="10" fillId="11" borderId="26" xfId="12" applyFont="1" applyFill="1" applyBorder="1" applyAlignment="1">
      <alignment horizontal="center"/>
    </xf>
    <xf numFmtId="0" fontId="10" fillId="11" borderId="19" xfId="12" applyFont="1" applyFill="1" applyBorder="1" applyAlignment="1">
      <alignment horizontal="center"/>
    </xf>
    <xf numFmtId="0" fontId="20" fillId="0" borderId="0" xfId="0" applyFont="1" applyFill="1" applyBorder="1" applyAlignment="1">
      <alignment horizontal="left"/>
    </xf>
    <xf numFmtId="0" fontId="10" fillId="8" borderId="23" xfId="0" applyFont="1" applyFill="1" applyBorder="1" applyAlignment="1">
      <alignment horizontal="left"/>
    </xf>
    <xf numFmtId="0" fontId="10" fillId="8" borderId="30" xfId="0" applyFont="1" applyFill="1" applyBorder="1" applyAlignment="1">
      <alignment horizontal="left"/>
    </xf>
    <xf numFmtId="0" fontId="10" fillId="8" borderId="24" xfId="0" applyFont="1" applyFill="1" applyBorder="1" applyAlignment="1">
      <alignment horizontal="left"/>
    </xf>
    <xf numFmtId="0" fontId="20" fillId="3" borderId="0" xfId="0" applyFont="1" applyFill="1" applyBorder="1" applyAlignment="1">
      <alignment horizontal="left"/>
    </xf>
    <xf numFmtId="0" fontId="8" fillId="3" borderId="4" xfId="5" applyFont="1" applyFill="1" applyBorder="1" applyAlignment="1">
      <alignment horizontal="center"/>
    </xf>
    <xf numFmtId="0" fontId="8" fillId="3" borderId="3" xfId="5" applyFont="1" applyFill="1" applyBorder="1" applyAlignment="1">
      <alignment horizontal="center"/>
    </xf>
    <xf numFmtId="0" fontId="8" fillId="3" borderId="5" xfId="5" applyFont="1" applyFill="1" applyBorder="1" applyAlignment="1">
      <alignment horizontal="center"/>
    </xf>
    <xf numFmtId="0" fontId="10" fillId="8" borderId="23" xfId="3" applyFont="1" applyFill="1" applyBorder="1" applyAlignment="1">
      <alignment horizontal="left"/>
    </xf>
    <xf numFmtId="0" fontId="10" fillId="8" borderId="24" xfId="3" applyFont="1" applyFill="1" applyBorder="1" applyAlignment="1">
      <alignment horizontal="left"/>
    </xf>
    <xf numFmtId="0" fontId="24" fillId="8" borderId="22" xfId="3" applyFont="1" applyFill="1" applyBorder="1" applyAlignment="1">
      <alignment horizontal="left"/>
    </xf>
    <xf numFmtId="0" fontId="24" fillId="8" borderId="21" xfId="3" applyFont="1" applyFill="1" applyBorder="1" applyAlignment="1">
      <alignment horizontal="left"/>
    </xf>
    <xf numFmtId="164" fontId="20" fillId="0" borderId="0" xfId="0" applyNumberFormat="1" applyFont="1" applyFill="1" applyBorder="1" applyAlignment="1" applyProtection="1">
      <alignment horizontal="center"/>
      <protection locked="0"/>
    </xf>
    <xf numFmtId="165" fontId="28" fillId="0" borderId="0" xfId="0" applyNumberFormat="1" applyFont="1" applyFill="1" applyBorder="1" applyAlignment="1">
      <alignment horizontal="center" vertical="center"/>
    </xf>
    <xf numFmtId="0" fontId="20" fillId="0" borderId="0" xfId="12" applyFont="1" applyAlignment="1">
      <alignment horizontal="left"/>
    </xf>
    <xf numFmtId="164" fontId="20" fillId="0" borderId="0" xfId="12" applyNumberFormat="1" applyFont="1" applyAlignment="1">
      <alignment horizontal="left"/>
    </xf>
    <xf numFmtId="0" fontId="8" fillId="0" borderId="4" xfId="4" applyFont="1" applyBorder="1" applyAlignment="1">
      <alignment horizontal="center"/>
    </xf>
    <xf numFmtId="0" fontId="8" fillId="0" borderId="5" xfId="4" applyFont="1" applyBorder="1" applyAlignment="1">
      <alignment horizontal="center"/>
    </xf>
    <xf numFmtId="0" fontId="53" fillId="0" borderId="39" xfId="28" applyFont="1" applyBorder="1" applyAlignment="1">
      <alignment horizontal="center"/>
    </xf>
    <xf numFmtId="0" fontId="56" fillId="16" borderId="40" xfId="24" applyFont="1" applyFill="1" applyBorder="1" applyAlignment="1">
      <alignment horizontal="center" vertical="center" textRotation="180"/>
    </xf>
    <xf numFmtId="0" fontId="56" fillId="16" borderId="41" xfId="24" applyFont="1" applyFill="1" applyBorder="1" applyAlignment="1">
      <alignment horizontal="center" vertical="center" textRotation="180"/>
    </xf>
    <xf numFmtId="0" fontId="56" fillId="16" borderId="42" xfId="24" applyFont="1" applyFill="1" applyBorder="1" applyAlignment="1">
      <alignment horizontal="center" vertical="center" textRotation="180"/>
    </xf>
    <xf numFmtId="0" fontId="20" fillId="3" borderId="23" xfId="3" applyFont="1" applyFill="1" applyBorder="1" applyAlignment="1">
      <alignment horizontal="center" vertical="center" wrapText="1"/>
    </xf>
    <xf numFmtId="0" fontId="20" fillId="3" borderId="24" xfId="3" applyFont="1" applyFill="1" applyBorder="1" applyAlignment="1">
      <alignment horizontal="center" vertical="center" wrapText="1"/>
    </xf>
    <xf numFmtId="0" fontId="38" fillId="0" borderId="41" xfId="3" applyFont="1" applyBorder="1" applyAlignment="1">
      <alignment horizontal="center" vertical="center" wrapText="1"/>
    </xf>
    <xf numFmtId="0" fontId="38" fillId="0" borderId="42" xfId="3" applyFont="1" applyBorder="1" applyAlignment="1">
      <alignment horizontal="center" vertical="center" wrapText="1"/>
    </xf>
    <xf numFmtId="0" fontId="38" fillId="0" borderId="40" xfId="3" applyFont="1" applyBorder="1" applyAlignment="1">
      <alignment horizontal="center" vertical="center" wrapText="1"/>
    </xf>
    <xf numFmtId="0" fontId="38" fillId="0" borderId="40" xfId="3" applyFont="1" applyFill="1" applyBorder="1" applyAlignment="1">
      <alignment horizontal="center" vertical="center" wrapText="1"/>
    </xf>
    <xf numFmtId="0" fontId="38" fillId="0" borderId="41" xfId="3" applyFont="1" applyFill="1" applyBorder="1" applyAlignment="1">
      <alignment horizontal="center" vertical="center" wrapText="1"/>
    </xf>
    <xf numFmtId="0" fontId="38" fillId="0" borderId="42" xfId="3" applyFont="1" applyFill="1" applyBorder="1" applyAlignment="1">
      <alignment horizontal="center" vertical="center" wrapText="1"/>
    </xf>
    <xf numFmtId="0" fontId="21" fillId="0" borderId="44" xfId="3" applyFont="1" applyBorder="1" applyAlignment="1">
      <alignment horizontal="center" vertical="center" wrapText="1"/>
    </xf>
    <xf numFmtId="0" fontId="38" fillId="0" borderId="45" xfId="3" applyFont="1" applyBorder="1" applyAlignment="1">
      <alignment horizontal="center" vertical="center" wrapText="1"/>
    </xf>
    <xf numFmtId="0" fontId="38" fillId="0" borderId="40" xfId="3" applyFont="1" applyBorder="1" applyAlignment="1">
      <alignment horizontal="center" vertical="center"/>
    </xf>
    <xf numFmtId="0" fontId="38" fillId="0" borderId="41" xfId="3" applyFont="1" applyBorder="1" applyAlignment="1">
      <alignment horizontal="center" vertical="center"/>
    </xf>
    <xf numFmtId="0" fontId="38" fillId="0" borderId="40" xfId="3" applyFont="1" applyFill="1" applyBorder="1" applyAlignment="1">
      <alignment horizontal="center" vertical="center"/>
    </xf>
    <xf numFmtId="0" fontId="38" fillId="0" borderId="41" xfId="3" applyFont="1" applyFill="1" applyBorder="1" applyAlignment="1">
      <alignment horizontal="center" vertical="center"/>
    </xf>
    <xf numFmtId="0" fontId="38" fillId="0" borderId="42" xfId="3" applyFont="1" applyFill="1" applyBorder="1" applyAlignment="1">
      <alignment horizontal="center" vertical="center"/>
    </xf>
    <xf numFmtId="0" fontId="20" fillId="3" borderId="38" xfId="3" applyFont="1" applyFill="1" applyBorder="1" applyAlignment="1">
      <alignment horizontal="center" vertical="center" wrapText="1"/>
    </xf>
    <xf numFmtId="0" fontId="38" fillId="0" borderId="40" xfId="18" applyFont="1" applyFill="1" applyBorder="1" applyAlignment="1">
      <alignment horizontal="center" vertical="center" wrapText="1"/>
    </xf>
    <xf numFmtId="0" fontId="38" fillId="0" borderId="41" xfId="18" applyFont="1" applyFill="1" applyBorder="1" applyAlignment="1">
      <alignment horizontal="center" vertical="center" wrapText="1"/>
    </xf>
  </cellXfs>
  <cellStyles count="30">
    <cellStyle name="Comma" xfId="1" builtinId="3"/>
    <cellStyle name="Comma 2" xfId="2" xr:uid="{00000000-0005-0000-0000-000001000000}"/>
    <cellStyle name="Comma 2 2" xfId="11" xr:uid="{00000000-0005-0000-0000-000002000000}"/>
    <cellStyle name="Comma 3" xfId="21" xr:uid="{00000000-0005-0000-0000-000003000000}"/>
    <cellStyle name="Hyperlink" xfId="14" builtinId="8" customBuiltin="1"/>
    <cellStyle name="Hyperlink 2" xfId="17" xr:uid="{00000000-0005-0000-0000-000005000000}"/>
    <cellStyle name="Hyperlink 2 2" xfId="19" xr:uid="{00000000-0005-0000-0000-000006000000}"/>
    <cellStyle name="Hyperlink 3" xfId="20" xr:uid="{00000000-0005-0000-0000-000007000000}"/>
    <cellStyle name="Hyperlink 3 2" xfId="26" xr:uid="{00000000-0005-0000-0000-000008000000}"/>
    <cellStyle name="Normal" xfId="0" builtinId="0"/>
    <cellStyle name="Normal 2" xfId="3" xr:uid="{00000000-0005-0000-0000-00000A000000}"/>
    <cellStyle name="Normal 2 2" xfId="12" xr:uid="{00000000-0005-0000-0000-00000B000000}"/>
    <cellStyle name="Normal 3" xfId="4" xr:uid="{00000000-0005-0000-0000-00000C000000}"/>
    <cellStyle name="Normal 3 2" xfId="16" xr:uid="{00000000-0005-0000-0000-00000D000000}"/>
    <cellStyle name="Normal 3 2 2" xfId="25" xr:uid="{00000000-0005-0000-0000-00000E000000}"/>
    <cellStyle name="Normal 4" xfId="15" xr:uid="{00000000-0005-0000-0000-00000F000000}"/>
    <cellStyle name="Normal 4 2" xfId="24" xr:uid="{00000000-0005-0000-0000-000010000000}"/>
    <cellStyle name="Normal 5" xfId="18" xr:uid="{00000000-0005-0000-0000-000011000000}"/>
    <cellStyle name="Normal 5 2" xfId="27" xr:uid="{00000000-0005-0000-0000-000012000000}"/>
    <cellStyle name="Normal 6" xfId="22" xr:uid="{00000000-0005-0000-0000-000013000000}"/>
    <cellStyle name="Normal 7" xfId="28" xr:uid="{00000000-0005-0000-0000-000014000000}"/>
    <cellStyle name="Normal 8" xfId="29" xr:uid="{00000000-0005-0000-0000-000015000000}"/>
    <cellStyle name="Normal_PREDICTED READINESS CALCULATOR (FRP GNFPP)" xfId="5" xr:uid="{00000000-0005-0000-0000-000016000000}"/>
    <cellStyle name="Normal_VF-VFA 18 May 01" xfId="6" xr:uid="{00000000-0005-0000-0000-000017000000}"/>
    <cellStyle name="Normal1" xfId="7" xr:uid="{00000000-0005-0000-0000-000018000000}"/>
    <cellStyle name="Normal2" xfId="8" xr:uid="{00000000-0005-0000-0000-000019000000}"/>
    <cellStyle name="Percent" xfId="9" builtinId="5"/>
    <cellStyle name="Percent 2" xfId="10" xr:uid="{00000000-0005-0000-0000-00001B000000}"/>
    <cellStyle name="Percent 2 2" xfId="13" xr:uid="{00000000-0005-0000-0000-00001C000000}"/>
    <cellStyle name="Percent 3" xfId="23" xr:uid="{00000000-0005-0000-0000-00001D000000}"/>
  </cellStyles>
  <dxfs count="78">
    <dxf>
      <fill>
        <patternFill>
          <bgColor theme="0" tint="-0.24994659260841701"/>
        </patternFill>
      </fill>
    </dxf>
    <dxf>
      <fill>
        <patternFill>
          <bgColor theme="0" tint="-0.24994659260841701"/>
        </patternFill>
      </fill>
    </dxf>
    <dxf>
      <fill>
        <patternFill>
          <bgColor theme="0" tint="-0.24994659260841701"/>
        </patternFill>
      </fill>
    </dxf>
    <dxf>
      <font>
        <color rgb="FFFF7979"/>
      </font>
    </dxf>
    <dxf>
      <font>
        <color rgb="FFFF7979"/>
      </font>
    </dxf>
    <dxf>
      <font>
        <color rgb="FF66FF66"/>
      </font>
    </dxf>
    <dxf>
      <font>
        <color rgb="FFFF7979"/>
      </font>
    </dxf>
    <dxf>
      <font>
        <color rgb="FFFFFF99"/>
      </font>
    </dxf>
    <dxf>
      <font>
        <color rgb="FFFFFF99"/>
      </font>
    </dxf>
    <dxf>
      <font>
        <color rgb="FFFFFF99"/>
      </font>
    </dxf>
    <dxf>
      <font>
        <color rgb="FF66FF66"/>
      </font>
    </dxf>
    <dxf>
      <font>
        <color rgb="FFFF7979"/>
      </font>
    </dxf>
    <dxf>
      <font>
        <color rgb="FFFFFF99"/>
      </font>
    </dxf>
    <dxf>
      <font>
        <color rgb="FFFFFF99"/>
      </font>
    </dxf>
    <dxf>
      <font>
        <color rgb="FF66FF66"/>
      </font>
    </dxf>
    <dxf>
      <font>
        <color rgb="FFFF7979"/>
      </font>
    </dxf>
    <dxf>
      <font>
        <color rgb="FFFF7979"/>
      </font>
    </dxf>
    <dxf>
      <font>
        <color rgb="FFFF7979"/>
      </font>
    </dxf>
    <dxf>
      <font>
        <color rgb="FFFFFF9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FF99"/>
      </font>
    </dxf>
    <dxf>
      <font>
        <color rgb="FFFFFF99"/>
      </font>
    </dxf>
    <dxf>
      <font>
        <color rgb="FF66FF66"/>
      </font>
    </dxf>
    <dxf>
      <font>
        <color rgb="FFFF7979"/>
      </font>
    </dxf>
    <dxf>
      <font>
        <color rgb="FF66FF66"/>
      </font>
    </dxf>
    <dxf>
      <font>
        <color rgb="FFFF7979"/>
      </font>
    </dxf>
    <dxf>
      <font>
        <color rgb="FFFF7979"/>
      </font>
    </dxf>
    <dxf>
      <font>
        <color rgb="FFFF7979"/>
      </font>
    </dxf>
    <dxf>
      <font>
        <color rgb="FFFFFF99"/>
      </font>
    </dxf>
    <dxf>
      <font>
        <color rgb="FFFFFF99"/>
      </font>
    </dxf>
    <dxf>
      <font>
        <color rgb="FF66FF66"/>
      </font>
    </dxf>
    <dxf>
      <font>
        <color rgb="FFFFFF99"/>
      </font>
    </dxf>
    <dxf>
      <font>
        <color rgb="FFFFFF99"/>
      </font>
    </dxf>
    <dxf>
      <font>
        <color rgb="FFFF7979"/>
      </font>
    </dxf>
    <dxf>
      <font>
        <color rgb="FFFF7979"/>
      </font>
    </dxf>
    <dxf>
      <font>
        <color rgb="FF66FF66"/>
      </font>
    </dxf>
    <dxf>
      <font>
        <color rgb="FFFF7979"/>
      </font>
    </dxf>
    <dxf>
      <font>
        <color rgb="FFFFFF99"/>
      </font>
    </dxf>
    <dxf>
      <font>
        <color rgb="FFFFFF99"/>
      </font>
    </dxf>
    <dxf>
      <font>
        <color rgb="FF66FF66"/>
      </font>
    </dxf>
    <dxf>
      <font>
        <color rgb="FFFF7979"/>
      </font>
    </dxf>
    <dxf>
      <font>
        <color rgb="FFFFFF99"/>
      </font>
    </dxf>
    <dxf>
      <font>
        <color rgb="FF66FF66"/>
      </font>
    </dxf>
    <dxf>
      <font>
        <color rgb="FFFF7979"/>
      </font>
    </dxf>
    <dxf>
      <font>
        <color rgb="FFFF7979"/>
      </font>
    </dxf>
    <dxf>
      <font>
        <color rgb="FFFF7979"/>
      </font>
    </dxf>
    <dxf>
      <font>
        <color rgb="FFFFFF99"/>
      </font>
    </dxf>
    <dxf>
      <font>
        <color rgb="FFFFFF99"/>
      </font>
    </dxf>
    <dxf>
      <font>
        <color rgb="FF66FF66"/>
      </font>
    </dxf>
    <dxf>
      <font>
        <color rgb="FFFFFF99"/>
      </font>
    </dxf>
    <dxf>
      <font>
        <color rgb="FFFFFF99"/>
      </font>
    </dxf>
    <dxf>
      <font>
        <b val="0"/>
        <i/>
        <condense val="0"/>
        <extend val="0"/>
      </font>
      <fill>
        <patternFill>
          <bgColor indexed="43"/>
        </patternFill>
      </fill>
    </dxf>
    <dxf>
      <font>
        <b val="0"/>
        <i/>
        <condense val="0"/>
        <extend val="0"/>
      </font>
      <fill>
        <patternFill>
          <bgColor indexed="43"/>
        </patternFill>
      </fill>
    </dxf>
    <dxf>
      <font>
        <b val="0"/>
        <i/>
        <condense val="0"/>
        <extend val="0"/>
      </font>
      <fill>
        <patternFill>
          <bgColor indexed="43"/>
        </patternFill>
      </fill>
    </dxf>
    <dxf>
      <font>
        <color rgb="FFFF7979"/>
      </font>
    </dxf>
    <dxf>
      <font>
        <color rgb="FFFF7979"/>
      </font>
    </dxf>
    <dxf>
      <font>
        <color rgb="FFFFFF99"/>
      </font>
    </dxf>
    <dxf>
      <font>
        <color rgb="FF66FF66"/>
      </font>
    </dxf>
    <dxf>
      <font>
        <color rgb="FFFF7979"/>
      </font>
    </dxf>
    <dxf>
      <font>
        <color rgb="FFFFFF99"/>
      </font>
    </dxf>
    <dxf>
      <font>
        <color rgb="FFFFFF99"/>
      </font>
    </dxf>
    <dxf>
      <font>
        <color rgb="FF66FF66"/>
      </font>
    </dxf>
    <dxf>
      <font>
        <color rgb="FFFF7979"/>
      </font>
    </dxf>
    <dxf>
      <font>
        <color rgb="FF66FF66"/>
      </font>
    </dxf>
    <dxf>
      <font>
        <color rgb="FFFF7979"/>
      </font>
    </dxf>
    <dxf>
      <font>
        <color rgb="FFFF7979"/>
      </font>
    </dxf>
    <dxf>
      <font>
        <color rgb="FFFF7979"/>
      </font>
    </dxf>
    <dxf>
      <font>
        <color rgb="FFFFFF99"/>
      </font>
    </dxf>
    <dxf>
      <font>
        <color rgb="FFFFFF99"/>
      </font>
    </dxf>
    <dxf>
      <font>
        <color rgb="FF66FF66"/>
      </font>
    </dxf>
    <dxf>
      <font>
        <color rgb="FFFFFF99"/>
      </font>
    </dxf>
    <dxf>
      <font>
        <color rgb="FFFFFF99"/>
      </font>
    </dxf>
  </dxfs>
  <tableStyles count="0" defaultTableStyle="TableStyleMedium9" defaultPivotStyle="PivotStyleLight16"/>
  <colors>
    <mruColors>
      <color rgb="FFFFCC99"/>
      <color rgb="FF00FF00"/>
      <color rgb="FFCC99FF"/>
      <color rgb="FF9999FF"/>
      <color rgb="FF9966FF"/>
      <color rgb="FFFFCC66"/>
      <color rgb="FFFF9933"/>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247650</xdr:colOff>
      <xdr:row>77</xdr:row>
      <xdr:rowOff>47625</xdr:rowOff>
    </xdr:from>
    <xdr:to>
      <xdr:col>12</xdr:col>
      <xdr:colOff>352425</xdr:colOff>
      <xdr:row>91</xdr:row>
      <xdr:rowOff>114300</xdr:rowOff>
    </xdr:to>
    <xdr:pic>
      <xdr:nvPicPr>
        <xdr:cNvPr id="9226" name="Picture 16">
          <a:extLst>
            <a:ext uri="{FF2B5EF4-FFF2-40B4-BE49-F238E27FC236}">
              <a16:creationId xmlns:a16="http://schemas.microsoft.com/office/drawing/2014/main" id="{00000000-0008-0000-0400-00000A2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57550" y="11306175"/>
          <a:ext cx="3914775" cy="22383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42</xdr:row>
      <xdr:rowOff>0</xdr:rowOff>
    </xdr:to>
    <xdr:sp macro="" textlink="">
      <xdr:nvSpPr>
        <xdr:cNvPr id="2" name="Line 9">
          <a:extLst>
            <a:ext uri="{FF2B5EF4-FFF2-40B4-BE49-F238E27FC236}">
              <a16:creationId xmlns:a16="http://schemas.microsoft.com/office/drawing/2014/main" id="{00000000-0008-0000-0C00-000002000000}"/>
            </a:ext>
          </a:extLst>
        </xdr:cNvPr>
        <xdr:cNvSpPr>
          <a:spLocks noChangeShapeType="1"/>
        </xdr:cNvSpPr>
      </xdr:nvSpPr>
      <xdr:spPr bwMode="auto">
        <a:xfrm>
          <a:off x="0" y="600075"/>
          <a:ext cx="0" cy="800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41</xdr:row>
      <xdr:rowOff>0</xdr:rowOff>
    </xdr:to>
    <xdr:sp macro="" textlink="">
      <xdr:nvSpPr>
        <xdr:cNvPr id="2" name="Line 9">
          <a:extLst>
            <a:ext uri="{FF2B5EF4-FFF2-40B4-BE49-F238E27FC236}">
              <a16:creationId xmlns:a16="http://schemas.microsoft.com/office/drawing/2014/main" id="{00000000-0008-0000-0D00-000002000000}"/>
            </a:ext>
          </a:extLst>
        </xdr:cNvPr>
        <xdr:cNvSpPr>
          <a:spLocks noChangeShapeType="1"/>
        </xdr:cNvSpPr>
      </xdr:nvSpPr>
      <xdr:spPr bwMode="auto">
        <a:xfrm>
          <a:off x="0" y="600075"/>
          <a:ext cx="0" cy="6076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wemugufs08va\WINNT\Temporary%20Internet%20Files\OLKE1\MH60S%20DRAFT%20STANDARDS%202%20SEP%202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 BUDGETS"/>
      <sheetName val="REVISED BUDGETS"/>
      <sheetName val="CHARTS"/>
      <sheetName val="Planning Factors"/>
      <sheetName val="HSC EXP 1AC FDNF STANDARD"/>
      <sheetName val="HSC EXP 2 AC FDNF ESG STANDARD"/>
      <sheetName val="HSC EXP 4AC FDNF STANDARD"/>
      <sheetName val="HSC EXP 2 AC FDNF MSC STANDARD"/>
      <sheetName val="HSC EXP 3 AC FDNF STANDARD"/>
      <sheetName val="HSC EXP 2 AC CSG ESG W FRS ST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1.bin"/><Relationship Id="rId1" Type="http://schemas.openxmlformats.org/officeDocument/2006/relationships/hyperlink" Target="https://cpf.portal.navy.mil/sites/cnap/N42/N422/Shared%20Documents/Forms/site.aspx?RootFolder=%2Fsites%2Fcnap%2FN42%2FN422%2FShared%20Documents%2FN422C%20NAMP%2FMESMs%20and%20MC%2DFMC%20Goals"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2.bin"/><Relationship Id="rId1" Type="http://schemas.openxmlformats.org/officeDocument/2006/relationships/hyperlink" Target="https://cpf.navy.deps.mil/sites/cnap/N42/N422/Shared%20Documents/Forms/AllItems.aspx?RootFolder=%2Fsites%2Fcnap%2FN42%2FN422%2FShared%20Documents%2FN422C%20NAMP%2FMESMs&amp;FolderCTID=0x012000212BF25147D011499F67519C86833776&amp;View=%7BF9722C85%2DD3E2%2D452F%2DA30A%2D0A20CED3DE37%7D"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22"/>
  <sheetViews>
    <sheetView showGridLines="0" tabSelected="1" workbookViewId="0">
      <selection sqref="A1:B1"/>
    </sheetView>
  </sheetViews>
  <sheetFormatPr defaultRowHeight="12.75" x14ac:dyDescent="0.2"/>
  <cols>
    <col min="1" max="1" width="52.5703125" bestFit="1" customWidth="1"/>
    <col min="2" max="3" width="9.85546875" customWidth="1"/>
    <col min="4" max="4" width="10.140625" bestFit="1" customWidth="1"/>
  </cols>
  <sheetData>
    <row r="1" spans="1:5" s="41" customFormat="1" ht="15.75" thickBot="1" x14ac:dyDescent="0.3">
      <c r="A1" s="468" t="s">
        <v>0</v>
      </c>
      <c r="B1" s="469"/>
      <c r="C1" s="385" t="s">
        <v>1</v>
      </c>
      <c r="D1" s="357" t="s">
        <v>2</v>
      </c>
    </row>
    <row r="2" spans="1:5" s="41" customFormat="1" ht="15" x14ac:dyDescent="0.25">
      <c r="A2" s="285" t="str">
        <f>'VAW E-2D CVW DRRS(U)'!A1:D1</f>
        <v>Readiness Standards VAW E-2D CVW</v>
      </c>
      <c r="B2" s="281" t="s">
        <v>3</v>
      </c>
      <c r="C2" s="371">
        <f>'VAW E-2D CVW DRRS(U)'!AD1</f>
        <v>2.0099999999999998</v>
      </c>
      <c r="D2" s="368">
        <f>'VAW E-2D CVW DRRS(U)'!M1</f>
        <v>44835</v>
      </c>
      <c r="E2" s="40" t="str">
        <f t="shared" ref="E2:E14" ca="1" si="0">IF(D2&gt;NOW()-90," ! NEW","")</f>
        <v/>
      </c>
    </row>
    <row r="3" spans="1:5" s="41" customFormat="1" ht="15" x14ac:dyDescent="0.25">
      <c r="A3" s="286" t="str">
        <f>'VAW E2D FDNF DRRS(U)'!A1:D1</f>
        <v>Readiness Standards VAW E-2D FDNF</v>
      </c>
      <c r="B3" s="280" t="s">
        <v>3</v>
      </c>
      <c r="C3" s="372">
        <f>'VAW E2D FDNF DRRS(U)'!AD1</f>
        <v>2.02</v>
      </c>
      <c r="D3" s="370">
        <f>'VAW E2D FDNF DRRS(U)'!L1</f>
        <v>44835</v>
      </c>
      <c r="E3" s="40" t="str">
        <f t="shared" ca="1" si="0"/>
        <v/>
      </c>
    </row>
    <row r="4" spans="1:5" s="41" customFormat="1" ht="15" x14ac:dyDescent="0.25">
      <c r="A4" s="286" t="str">
        <f>'VAW E-2C CVW DRRS(U)'!A1:D1</f>
        <v>Readiness Standards VAW E-2C CVW</v>
      </c>
      <c r="B4" s="280" t="s">
        <v>3</v>
      </c>
      <c r="C4" s="372">
        <f>'VAW E-2C CVW DRRS(U)'!AD1</f>
        <v>2.0299999999999998</v>
      </c>
      <c r="D4" s="369">
        <f>'VAW E-2C CVW DRRS(U)'!M1</f>
        <v>44835</v>
      </c>
      <c r="E4" s="40" t="str">
        <f t="shared" ca="1" si="0"/>
        <v/>
      </c>
    </row>
    <row r="5" spans="1:5" s="41" customFormat="1" ht="15" x14ac:dyDescent="0.25">
      <c r="A5" s="286" t="str">
        <f>'VAW (E-2C-D FRS)'!A1:F1</f>
        <v>Readiness Standards VAW E-2C-D FRS</v>
      </c>
      <c r="B5" s="280"/>
      <c r="C5" s="372">
        <f>'VAW (E-2C-D FRS)'!AD1</f>
        <v>2.04</v>
      </c>
      <c r="D5" s="370">
        <f>'VAW (E-2C-D FRS)'!J1</f>
        <v>44835</v>
      </c>
      <c r="E5" s="40" t="str">
        <f t="shared" ca="1" si="0"/>
        <v/>
      </c>
    </row>
    <row r="6" spans="1:5" s="41" customFormat="1" ht="15" x14ac:dyDescent="0.25">
      <c r="A6" s="286" t="str">
        <f>'VAW E-2D PDAA'!A1</f>
        <v>Readiness Standards VAW E-2D Test</v>
      </c>
      <c r="B6" s="280"/>
      <c r="C6" s="372">
        <f>'VAW E-2D PDAA'!AB1</f>
        <v>2.0499999999999998</v>
      </c>
      <c r="D6" s="370">
        <f>'VAW E-2D PDAA'!H1</f>
        <v>44835</v>
      </c>
      <c r="E6" s="40" t="str">
        <f t="shared" ca="1" si="0"/>
        <v/>
      </c>
    </row>
    <row r="7" spans="1:5" s="41" customFormat="1" ht="15" x14ac:dyDescent="0.25">
      <c r="A7" s="286" t="str">
        <f>'VAW E-2C Reduced MET Matrix'!C2</f>
        <v>Navy E-2C (All) TMS Reduced MET to Mission System Map</v>
      </c>
      <c r="B7" s="58"/>
      <c r="C7" s="361"/>
      <c r="D7" s="42">
        <f>'VAW E-2C Reduced MET Matrix'!B1</f>
        <v>43435</v>
      </c>
      <c r="E7" s="40" t="str">
        <f t="shared" ca="1" si="0"/>
        <v/>
      </c>
    </row>
    <row r="8" spans="1:5" s="41" customFormat="1" ht="15" x14ac:dyDescent="0.25">
      <c r="A8" s="286" t="str">
        <f>'VAW E-2D Reduced MET Matrix'!C2</f>
        <v>Navy E-2D TMS Reduced MET to Mission System Map</v>
      </c>
      <c r="B8" s="58"/>
      <c r="C8" s="361"/>
      <c r="D8" s="42">
        <f>'VAW E-2D Reduced MET Matrix'!B1</f>
        <v>44228</v>
      </c>
      <c r="E8" s="40" t="str">
        <f t="shared" ca="1" si="0"/>
        <v/>
      </c>
    </row>
    <row r="9" spans="1:5" s="41" customFormat="1" ht="15" x14ac:dyDescent="0.25">
      <c r="A9" s="286" t="str">
        <f>'E-2 Mission System Summary'!A1</f>
        <v>E-2C/D Mission System Utilization per Flight Task</v>
      </c>
      <c r="B9" s="58"/>
      <c r="C9" s="361"/>
      <c r="D9" s="42">
        <f>'E-2 Mission System Summary'!J1</f>
        <v>44825</v>
      </c>
      <c r="E9" s="40" t="str">
        <f t="shared" ca="1" si="0"/>
        <v/>
      </c>
    </row>
    <row r="10" spans="1:5" s="41" customFormat="1" ht="15" x14ac:dyDescent="0.25">
      <c r="A10" s="286" t="str">
        <f>'VAW E-2C Mission Systems'!A1</f>
        <v>Mission System Groups VAW E-2C</v>
      </c>
      <c r="B10" s="58"/>
      <c r="C10" s="361"/>
      <c r="D10" s="42">
        <f>'VAW E-2C Mission Systems'!E1</f>
        <v>43241</v>
      </c>
      <c r="E10" s="40" t="str">
        <f t="shared" ca="1" si="0"/>
        <v/>
      </c>
    </row>
    <row r="11" spans="1:5" s="41" customFormat="1" ht="15" x14ac:dyDescent="0.25">
      <c r="A11" s="286" t="str">
        <f>'VAW E-2D Mission Systems'!A1</f>
        <v>Mission System Groups VAW E-2D</v>
      </c>
      <c r="B11" s="58"/>
      <c r="C11" s="361"/>
      <c r="D11" s="42">
        <f>'VAW E-2D Mission Systems'!E1</f>
        <v>44252</v>
      </c>
      <c r="E11" s="40" t="str">
        <f t="shared" ca="1" si="0"/>
        <v/>
      </c>
    </row>
    <row r="12" spans="1:5" s="41" customFormat="1" ht="15" x14ac:dyDescent="0.25">
      <c r="A12" s="286" t="s">
        <v>4</v>
      </c>
      <c r="B12" s="58"/>
      <c r="C12" s="361"/>
      <c r="D12" s="44"/>
      <c r="E12" s="40" t="str">
        <f t="shared" ca="1" si="0"/>
        <v/>
      </c>
    </row>
    <row r="13" spans="1:5" s="41" customFormat="1" ht="15" x14ac:dyDescent="0.25">
      <c r="A13" s="43"/>
      <c r="B13" s="58"/>
      <c r="C13" s="361"/>
      <c r="D13" s="44"/>
      <c r="E13" s="40" t="str">
        <f t="shared" ca="1" si="0"/>
        <v/>
      </c>
    </row>
    <row r="14" spans="1:5" s="41" customFormat="1" ht="15.75" thickBot="1" x14ac:dyDescent="0.3">
      <c r="A14" s="45"/>
      <c r="B14" s="282"/>
      <c r="C14" s="362"/>
      <c r="D14" s="46"/>
      <c r="E14" s="40" t="str">
        <f t="shared" ca="1" si="0"/>
        <v/>
      </c>
    </row>
    <row r="15" spans="1:5" s="41" customFormat="1" ht="15" x14ac:dyDescent="0.25"/>
    <row r="16" spans="1:5" s="41" customFormat="1" ht="15" x14ac:dyDescent="0.25"/>
    <row r="18" spans="1:3" s="41" customFormat="1" ht="15" x14ac:dyDescent="0.25"/>
    <row r="19" spans="1:3" s="41" customFormat="1" ht="15" x14ac:dyDescent="0.25"/>
    <row r="20" spans="1:3" s="41" customFormat="1" ht="15" x14ac:dyDescent="0.25"/>
    <row r="21" spans="1:3" s="41" customFormat="1" ht="15" x14ac:dyDescent="0.25"/>
    <row r="22" spans="1:3" s="41" customFormat="1" ht="15" x14ac:dyDescent="0.25">
      <c r="A22" s="47" t="s">
        <v>5</v>
      </c>
      <c r="B22" s="47"/>
      <c r="C22" s="47"/>
    </row>
  </sheetData>
  <mergeCells count="1">
    <mergeCell ref="A1:B1"/>
  </mergeCells>
  <phoneticPr fontId="5" type="noConversion"/>
  <hyperlinks>
    <hyperlink ref="A4" location="'VAW E-2C CVW DRRS(U)'!A1" display="'VAW E-2C CVW DRRS(U)'!A1" xr:uid="{00000000-0004-0000-0000-000000000000}"/>
    <hyperlink ref="A2" location="'VAW E-2D CVW DRRS(U)'!A1" display="'VAW E-2D CVW DRRS(U)'!A1" xr:uid="{00000000-0004-0000-0000-000001000000}"/>
    <hyperlink ref="B2" location="'VAW E-2D CVW DRRS(U)'!A117" display="AMFOM" xr:uid="{00000000-0004-0000-0000-000002000000}"/>
    <hyperlink ref="B4" location="'VAW E-2C CVW DRRS(U)'!A117" display="AMFOM" xr:uid="{00000000-0004-0000-0000-000003000000}"/>
    <hyperlink ref="B3" location="'VAW E2D FDNF DRRS(U)'!A117" display="AMFOM" xr:uid="{00000000-0004-0000-0000-000004000000}"/>
    <hyperlink ref="A10" location="'VAW E-2C Mission Systems'!A1" display="'VAW E-2C Mission Systems'!A1" xr:uid="{00000000-0004-0000-0000-000005000000}"/>
    <hyperlink ref="A11" location="'VAW E-2D Mission Systems'!A1" display="'VAW E-2D Mission Systems'!A1" xr:uid="{00000000-0004-0000-0000-000006000000}"/>
    <hyperlink ref="A3" location="'VAW E2D FDNF DRRS(U)'!A1" display="'VAW E2D FDNF DRRS(U)'!A1" xr:uid="{00000000-0004-0000-0000-000007000000}"/>
    <hyperlink ref="A8" location="'VAW E-2D Reduced MET Matrix'!A1" display="'VAW E-2D Reduced MET Matrix'!A1" xr:uid="{00000000-0004-0000-0000-000008000000}"/>
    <hyperlink ref="A12" location="Definitions!A1" display="Definitions" xr:uid="{00000000-0004-0000-0000-000009000000}"/>
    <hyperlink ref="A5" location="'VAW (E-2C-D FRS)'!A1" display="'VAW (E-2C-D FRS)'!A1" xr:uid="{00000000-0004-0000-0000-00000A000000}"/>
    <hyperlink ref="A7" location="'VAW E-2C Reduced MET Matrix'!A1" display="'VAW E-2C Reduced MET Matrix'!A1" xr:uid="{00000000-0004-0000-0000-00000B000000}"/>
    <hyperlink ref="A9" location="'E-2 Mission System Summary'!A1" display="'E-2 Mission System Summary'!A1" xr:uid="{00000000-0004-0000-0000-00000C000000}"/>
    <hyperlink ref="A6" location="'VAW E-2D PDAA'!A1" display="'VAW E-2D PDAA'!A1" xr:uid="{00000000-0004-0000-0000-00000D000000}"/>
  </hyperlink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45"/>
  <sheetViews>
    <sheetView showGridLines="0" topLeftCell="A10" workbookViewId="0">
      <selection activeCell="C33" sqref="C33"/>
    </sheetView>
  </sheetViews>
  <sheetFormatPr defaultRowHeight="15" x14ac:dyDescent="0.25"/>
  <cols>
    <col min="1" max="1" width="11.140625" style="57" customWidth="1"/>
    <col min="2" max="2" width="33.28515625" style="57" bestFit="1" customWidth="1"/>
    <col min="3" max="3" width="107" style="41" bestFit="1" customWidth="1"/>
    <col min="4" max="16384" width="9.140625" style="41"/>
  </cols>
  <sheetData>
    <row r="1" spans="1:4" x14ac:dyDescent="0.25">
      <c r="A1" s="48" t="s">
        <v>6</v>
      </c>
      <c r="B1" s="48" t="s">
        <v>7</v>
      </c>
      <c r="C1" s="49" t="s">
        <v>8</v>
      </c>
      <c r="D1" s="49"/>
    </row>
    <row r="2" spans="1:4" x14ac:dyDescent="0.25">
      <c r="A2" s="50">
        <v>41091</v>
      </c>
      <c r="B2" s="335" t="s">
        <v>9</v>
      </c>
      <c r="C2" s="52" t="s">
        <v>10</v>
      </c>
      <c r="D2" s="53"/>
    </row>
    <row r="3" spans="1:4" s="57" customFormat="1" x14ac:dyDescent="0.2">
      <c r="A3" s="54">
        <v>41183</v>
      </c>
      <c r="B3" s="56" t="s">
        <v>11</v>
      </c>
      <c r="C3" s="56" t="s">
        <v>12</v>
      </c>
    </row>
    <row r="4" spans="1:4" x14ac:dyDescent="0.25">
      <c r="A4" s="50">
        <v>41183</v>
      </c>
      <c r="B4" s="335" t="s">
        <v>13</v>
      </c>
      <c r="C4" s="58" t="s">
        <v>14</v>
      </c>
    </row>
    <row r="5" spans="1:4" x14ac:dyDescent="0.25">
      <c r="A5" s="191">
        <v>41426</v>
      </c>
      <c r="B5" s="336" t="s">
        <v>15</v>
      </c>
      <c r="C5" s="59" t="s">
        <v>16</v>
      </c>
    </row>
    <row r="6" spans="1:4" x14ac:dyDescent="0.25">
      <c r="A6" s="50">
        <v>41426</v>
      </c>
      <c r="B6" s="335" t="s">
        <v>17</v>
      </c>
      <c r="C6" s="58" t="s">
        <v>18</v>
      </c>
    </row>
    <row r="7" spans="1:4" x14ac:dyDescent="0.25">
      <c r="A7" s="50">
        <v>41426</v>
      </c>
      <c r="B7" s="335" t="s">
        <v>19</v>
      </c>
      <c r="C7" s="59" t="s">
        <v>20</v>
      </c>
    </row>
    <row r="8" spans="1:4" x14ac:dyDescent="0.25">
      <c r="A8" s="50">
        <v>41548</v>
      </c>
      <c r="B8" s="335" t="s">
        <v>13</v>
      </c>
      <c r="C8" s="58" t="s">
        <v>14</v>
      </c>
    </row>
    <row r="9" spans="1:4" x14ac:dyDescent="0.25">
      <c r="A9" s="50">
        <v>41548</v>
      </c>
      <c r="B9" s="56" t="s">
        <v>11</v>
      </c>
      <c r="C9" s="58" t="s">
        <v>14</v>
      </c>
    </row>
    <row r="10" spans="1:4" x14ac:dyDescent="0.25">
      <c r="A10" s="50">
        <v>41791</v>
      </c>
      <c r="B10" s="56" t="s">
        <v>11</v>
      </c>
      <c r="C10" s="58" t="s">
        <v>21</v>
      </c>
    </row>
    <row r="11" spans="1:4" x14ac:dyDescent="0.25">
      <c r="A11" s="50">
        <v>41913</v>
      </c>
      <c r="B11" s="335" t="s">
        <v>13</v>
      </c>
      <c r="C11" s="58" t="s">
        <v>14</v>
      </c>
    </row>
    <row r="12" spans="1:4" x14ac:dyDescent="0.25">
      <c r="A12" s="50">
        <v>41913</v>
      </c>
      <c r="B12" s="56" t="s">
        <v>11</v>
      </c>
      <c r="C12" s="58" t="s">
        <v>14</v>
      </c>
    </row>
    <row r="13" spans="1:4" x14ac:dyDescent="0.25">
      <c r="A13" s="50">
        <v>41640</v>
      </c>
      <c r="B13" s="335" t="s">
        <v>17</v>
      </c>
      <c r="C13" s="58" t="s">
        <v>22</v>
      </c>
    </row>
    <row r="14" spans="1:4" x14ac:dyDescent="0.25">
      <c r="A14" s="50">
        <v>42064</v>
      </c>
      <c r="B14" s="335" t="s">
        <v>13</v>
      </c>
      <c r="C14" s="58" t="s">
        <v>23</v>
      </c>
    </row>
    <row r="15" spans="1:4" x14ac:dyDescent="0.25">
      <c r="A15" s="50">
        <v>42064</v>
      </c>
      <c r="B15" s="56" t="s">
        <v>11</v>
      </c>
      <c r="C15" s="58" t="s">
        <v>23</v>
      </c>
    </row>
    <row r="16" spans="1:4" x14ac:dyDescent="0.25">
      <c r="A16" s="50">
        <v>42278</v>
      </c>
      <c r="B16" s="335" t="s">
        <v>11</v>
      </c>
      <c r="C16" s="58" t="s">
        <v>24</v>
      </c>
    </row>
    <row r="17" spans="1:3" x14ac:dyDescent="0.25">
      <c r="A17" s="50">
        <v>42278</v>
      </c>
      <c r="B17" s="335" t="s">
        <v>13</v>
      </c>
      <c r="C17" s="58" t="s">
        <v>24</v>
      </c>
    </row>
    <row r="18" spans="1:3" x14ac:dyDescent="0.25">
      <c r="A18" s="50">
        <v>42278</v>
      </c>
      <c r="B18" s="335" t="s">
        <v>15</v>
      </c>
      <c r="C18" s="58" t="s">
        <v>25</v>
      </c>
    </row>
    <row r="19" spans="1:3" x14ac:dyDescent="0.25">
      <c r="A19" s="50">
        <v>42552</v>
      </c>
      <c r="B19" s="335" t="s">
        <v>26</v>
      </c>
      <c r="C19" s="58" t="s">
        <v>12</v>
      </c>
    </row>
    <row r="20" spans="1:3" x14ac:dyDescent="0.25">
      <c r="A20" s="50">
        <v>42644</v>
      </c>
      <c r="B20" s="335" t="s">
        <v>13</v>
      </c>
      <c r="C20" s="58" t="s">
        <v>14</v>
      </c>
    </row>
    <row r="21" spans="1:3" x14ac:dyDescent="0.25">
      <c r="A21" s="50">
        <v>42644</v>
      </c>
      <c r="B21" s="56" t="s">
        <v>11</v>
      </c>
      <c r="C21" s="58" t="s">
        <v>14</v>
      </c>
    </row>
    <row r="22" spans="1:3" x14ac:dyDescent="0.25">
      <c r="A22" s="284">
        <v>42948</v>
      </c>
      <c r="B22" s="337" t="s">
        <v>27</v>
      </c>
      <c r="C22" s="283" t="s">
        <v>28</v>
      </c>
    </row>
    <row r="23" spans="1:3" x14ac:dyDescent="0.25">
      <c r="A23" s="50">
        <v>43009</v>
      </c>
      <c r="B23" s="335" t="s">
        <v>13</v>
      </c>
      <c r="C23" s="58" t="s">
        <v>14</v>
      </c>
    </row>
    <row r="24" spans="1:3" x14ac:dyDescent="0.25">
      <c r="A24" s="50">
        <v>43009</v>
      </c>
      <c r="B24" s="56" t="s">
        <v>11</v>
      </c>
      <c r="C24" s="58" t="s">
        <v>14</v>
      </c>
    </row>
    <row r="25" spans="1:3" x14ac:dyDescent="0.25">
      <c r="A25" s="50">
        <v>43374</v>
      </c>
      <c r="B25" s="335" t="s">
        <v>13</v>
      </c>
      <c r="C25" s="58" t="s">
        <v>14</v>
      </c>
    </row>
    <row r="26" spans="1:3" x14ac:dyDescent="0.25">
      <c r="A26" s="50">
        <v>43374</v>
      </c>
      <c r="B26" s="56" t="s">
        <v>11</v>
      </c>
      <c r="C26" s="58" t="s">
        <v>14</v>
      </c>
    </row>
    <row r="27" spans="1:3" x14ac:dyDescent="0.25">
      <c r="A27" s="50">
        <v>43435</v>
      </c>
      <c r="B27" s="335" t="s">
        <v>29</v>
      </c>
      <c r="C27" s="58" t="s">
        <v>20</v>
      </c>
    </row>
    <row r="28" spans="1:3" x14ac:dyDescent="0.25">
      <c r="A28" s="50">
        <v>43435</v>
      </c>
      <c r="B28" s="335" t="s">
        <v>15</v>
      </c>
      <c r="C28" s="58" t="s">
        <v>30</v>
      </c>
    </row>
    <row r="29" spans="1:3" x14ac:dyDescent="0.25">
      <c r="A29" s="50">
        <v>43435</v>
      </c>
      <c r="B29" s="335" t="s">
        <v>15</v>
      </c>
      <c r="C29" s="58" t="s">
        <v>31</v>
      </c>
    </row>
    <row r="30" spans="1:3" x14ac:dyDescent="0.25">
      <c r="A30" s="50">
        <v>43435</v>
      </c>
      <c r="B30" s="335" t="s">
        <v>15</v>
      </c>
      <c r="C30" s="52" t="s">
        <v>32</v>
      </c>
    </row>
    <row r="31" spans="1:3" x14ac:dyDescent="0.25">
      <c r="A31" s="50">
        <v>43435</v>
      </c>
      <c r="B31" s="335" t="s">
        <v>15</v>
      </c>
      <c r="C31" s="52" t="s">
        <v>33</v>
      </c>
    </row>
    <row r="32" spans="1:3" x14ac:dyDescent="0.25">
      <c r="A32" s="50">
        <v>43435</v>
      </c>
      <c r="B32" s="335" t="s">
        <v>15</v>
      </c>
      <c r="C32" s="52" t="s">
        <v>34</v>
      </c>
    </row>
    <row r="33" spans="1:3" x14ac:dyDescent="0.25">
      <c r="A33" s="50">
        <v>43952</v>
      </c>
      <c r="B33" s="335" t="s">
        <v>35</v>
      </c>
      <c r="C33" s="58" t="s">
        <v>36</v>
      </c>
    </row>
    <row r="34" spans="1:3" x14ac:dyDescent="0.25">
      <c r="A34" s="191">
        <v>43862</v>
      </c>
      <c r="B34" s="58" t="s">
        <v>37</v>
      </c>
      <c r="C34" s="283" t="s">
        <v>38</v>
      </c>
    </row>
    <row r="35" spans="1:3" x14ac:dyDescent="0.25">
      <c r="A35" s="50">
        <v>44805</v>
      </c>
      <c r="B35" s="335" t="s">
        <v>39</v>
      </c>
      <c r="C35" s="58" t="s">
        <v>40</v>
      </c>
    </row>
    <row r="36" spans="1:3" x14ac:dyDescent="0.25">
      <c r="A36" s="191">
        <v>44835</v>
      </c>
      <c r="B36" s="58" t="s">
        <v>15</v>
      </c>
      <c r="C36" s="390" t="s">
        <v>41</v>
      </c>
    </row>
    <row r="37" spans="1:3" x14ac:dyDescent="0.25">
      <c r="A37" s="50">
        <v>44835</v>
      </c>
      <c r="B37" s="391" t="s">
        <v>15</v>
      </c>
      <c r="C37" s="390" t="s">
        <v>42</v>
      </c>
    </row>
    <row r="38" spans="1:3" x14ac:dyDescent="0.25">
      <c r="A38" s="50">
        <v>44835</v>
      </c>
      <c r="B38" s="335" t="s">
        <v>43</v>
      </c>
      <c r="C38" s="390" t="s">
        <v>44</v>
      </c>
    </row>
    <row r="39" spans="1:3" x14ac:dyDescent="0.25">
      <c r="A39" s="51"/>
      <c r="B39" s="335"/>
      <c r="C39" s="58"/>
    </row>
    <row r="40" spans="1:3" x14ac:dyDescent="0.25">
      <c r="A40" s="51"/>
      <c r="B40" s="51"/>
      <c r="C40" s="58"/>
    </row>
    <row r="41" spans="1:3" x14ac:dyDescent="0.25">
      <c r="A41" s="51"/>
      <c r="B41" s="51"/>
      <c r="C41" s="58"/>
    </row>
    <row r="42" spans="1:3" x14ac:dyDescent="0.25">
      <c r="A42" s="51"/>
      <c r="B42" s="51"/>
      <c r="C42" s="58"/>
    </row>
    <row r="43" spans="1:3" x14ac:dyDescent="0.25">
      <c r="A43" s="51"/>
      <c r="B43" s="51"/>
      <c r="C43" s="58"/>
    </row>
    <row r="44" spans="1:3" x14ac:dyDescent="0.25">
      <c r="A44" s="51"/>
      <c r="B44" s="51"/>
      <c r="C44" s="58"/>
    </row>
    <row r="45" spans="1:3" x14ac:dyDescent="0.25">
      <c r="A45" s="51"/>
      <c r="B45" s="51"/>
      <c r="C45" s="58"/>
    </row>
  </sheetData>
  <phoneticPr fontId="5"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T131"/>
  <sheetViews>
    <sheetView showGridLines="0" topLeftCell="A21" zoomScaleNormal="100" workbookViewId="0">
      <selection activeCell="A38" sqref="A38"/>
    </sheetView>
  </sheetViews>
  <sheetFormatPr defaultRowHeight="11.25" x14ac:dyDescent="0.2"/>
  <cols>
    <col min="1" max="1" width="45.5703125" style="86" bestFit="1" customWidth="1"/>
    <col min="2" max="29" width="5.7109375" style="86" customWidth="1"/>
    <col min="30" max="30" width="6.28515625" style="68" bestFit="1" customWidth="1"/>
    <col min="31" max="31" width="6.28515625" style="68" customWidth="1"/>
    <col min="32" max="32" width="4.7109375" style="68" bestFit="1" customWidth="1"/>
    <col min="33" max="16384" width="9.140625" style="86"/>
  </cols>
  <sheetData>
    <row r="1" spans="1:32" s="61" customFormat="1" ht="18.75" x14ac:dyDescent="0.3">
      <c r="A1" s="490" t="s">
        <v>45</v>
      </c>
      <c r="B1" s="490"/>
      <c r="C1" s="490"/>
      <c r="D1" s="490"/>
      <c r="E1" s="60"/>
      <c r="F1" s="60"/>
      <c r="H1" s="62" t="s">
        <v>46</v>
      </c>
      <c r="L1" s="63" t="s">
        <v>47</v>
      </c>
      <c r="M1" s="483">
        <v>44835</v>
      </c>
      <c r="N1" s="484"/>
      <c r="O1" s="485"/>
      <c r="P1" s="485"/>
      <c r="T1" s="64"/>
      <c r="U1" s="64"/>
      <c r="V1" s="64"/>
      <c r="W1" s="64"/>
      <c r="X1" s="64"/>
      <c r="Y1" s="64"/>
      <c r="Z1" s="64"/>
      <c r="AA1" s="64"/>
      <c r="AB1" s="64"/>
      <c r="AC1" s="363" t="s">
        <v>48</v>
      </c>
      <c r="AD1" s="365">
        <v>2.0099999999999998</v>
      </c>
    </row>
    <row r="2" spans="1:32" s="68" customFormat="1" ht="12.75" x14ac:dyDescent="0.2">
      <c r="A2" s="65" t="s">
        <v>49</v>
      </c>
      <c r="B2" s="66">
        <v>5</v>
      </c>
      <c r="C2" s="67"/>
      <c r="D2" s="67"/>
      <c r="E2" s="67"/>
      <c r="F2" s="67"/>
      <c r="G2" s="67"/>
      <c r="H2" s="394" t="s">
        <v>3</v>
      </c>
      <c r="I2" s="67"/>
      <c r="J2" s="67"/>
      <c r="K2" s="67"/>
      <c r="N2" s="67"/>
      <c r="O2" s="67"/>
      <c r="P2" s="67"/>
      <c r="Q2" s="67"/>
      <c r="R2" s="67"/>
      <c r="S2" s="67"/>
      <c r="T2" s="67"/>
      <c r="U2" s="67"/>
      <c r="V2" s="67"/>
      <c r="W2" s="67"/>
      <c r="X2" s="67"/>
      <c r="Y2" s="67"/>
      <c r="Z2" s="67"/>
      <c r="AA2" s="67"/>
      <c r="AB2" s="67"/>
      <c r="AC2" s="67"/>
    </row>
    <row r="3" spans="1:32" s="68" customFormat="1" x14ac:dyDescent="0.2">
      <c r="A3" s="65" t="s">
        <v>50</v>
      </c>
      <c r="B3" s="70">
        <v>1.2</v>
      </c>
      <c r="C3" s="67"/>
      <c r="D3" s="67"/>
      <c r="E3" s="67"/>
      <c r="F3" s="67"/>
      <c r="G3" s="67"/>
      <c r="H3" s="69"/>
      <c r="I3" s="69"/>
      <c r="J3" s="69"/>
      <c r="P3" s="67"/>
      <c r="Q3" s="67"/>
      <c r="R3" s="67"/>
      <c r="S3" s="67"/>
      <c r="T3" s="67"/>
      <c r="U3" s="67"/>
      <c r="V3" s="67"/>
      <c r="W3" s="67"/>
      <c r="X3" s="67"/>
      <c r="Y3" s="67"/>
      <c r="Z3" s="67"/>
      <c r="AA3" s="67"/>
      <c r="AB3" s="67"/>
      <c r="AC3" s="67"/>
    </row>
    <row r="4" spans="1:32" s="68" customFormat="1" x14ac:dyDescent="0.2">
      <c r="A4" s="65" t="s">
        <v>51</v>
      </c>
      <c r="B4" s="66">
        <f>B2*B3</f>
        <v>6</v>
      </c>
      <c r="C4" s="67"/>
      <c r="D4" s="67"/>
      <c r="E4" s="67"/>
      <c r="F4" s="67"/>
      <c r="G4" s="67"/>
      <c r="H4" s="67"/>
      <c r="I4" s="67"/>
      <c r="J4" s="67"/>
      <c r="K4" s="67"/>
      <c r="N4" s="67"/>
      <c r="O4" s="67"/>
      <c r="P4" s="67"/>
      <c r="Q4" s="67"/>
      <c r="R4" s="67"/>
      <c r="S4" s="67"/>
      <c r="T4" s="67"/>
      <c r="U4" s="67"/>
      <c r="V4" s="67"/>
      <c r="W4" s="67"/>
      <c r="X4" s="67"/>
      <c r="Y4" s="67"/>
      <c r="Z4" s="67"/>
      <c r="AA4" s="67"/>
      <c r="AB4" s="67"/>
      <c r="AC4" s="67"/>
    </row>
    <row r="5" spans="1:32" s="68" customFormat="1" x14ac:dyDescent="0.2">
      <c r="A5" s="65" t="s">
        <v>52</v>
      </c>
      <c r="B5" s="67">
        <v>1.5</v>
      </c>
      <c r="C5" s="71"/>
      <c r="D5" s="67"/>
      <c r="E5" s="67"/>
      <c r="F5" s="67"/>
      <c r="G5" s="67"/>
      <c r="H5" s="67"/>
      <c r="I5" s="67"/>
      <c r="J5" s="67"/>
      <c r="K5" s="67"/>
      <c r="N5" s="67"/>
      <c r="O5" s="67"/>
      <c r="P5" s="67"/>
      <c r="Q5" s="67"/>
      <c r="R5" s="67"/>
      <c r="S5" s="67"/>
      <c r="T5" s="67"/>
      <c r="U5" s="67"/>
      <c r="V5" s="67"/>
      <c r="W5" s="67"/>
      <c r="X5" s="67"/>
      <c r="Y5" s="67"/>
      <c r="Z5" s="67"/>
      <c r="AA5" s="67"/>
      <c r="AB5" s="67"/>
      <c r="AC5" s="67"/>
    </row>
    <row r="6" spans="1:32" s="68" customFormat="1" x14ac:dyDescent="0.2">
      <c r="A6" s="72" t="s">
        <v>53</v>
      </c>
      <c r="B6" s="67">
        <v>27.9</v>
      </c>
      <c r="C6" s="71"/>
      <c r="D6" s="67"/>
      <c r="E6" s="67"/>
      <c r="F6" s="67"/>
      <c r="G6" s="67"/>
      <c r="H6" s="67"/>
      <c r="I6" s="67"/>
      <c r="J6" s="67"/>
      <c r="K6" s="67"/>
      <c r="L6" s="67"/>
      <c r="M6" s="67"/>
      <c r="N6" s="67"/>
      <c r="O6" s="67"/>
      <c r="P6" s="67"/>
      <c r="Q6" s="67"/>
      <c r="R6" s="67"/>
      <c r="S6" s="67"/>
      <c r="T6" s="67"/>
      <c r="U6" s="67"/>
      <c r="V6" s="67"/>
      <c r="W6" s="67"/>
      <c r="X6" s="67"/>
      <c r="Y6" s="67"/>
      <c r="Z6" s="67"/>
      <c r="AA6" s="67"/>
      <c r="AB6" s="67"/>
      <c r="AC6" s="67"/>
    </row>
    <row r="7" spans="1:32" s="68" customFormat="1" x14ac:dyDescent="0.2">
      <c r="A7" s="65" t="s">
        <v>54</v>
      </c>
      <c r="B7" s="67">
        <f>B6*B4</f>
        <v>167.39999999999998</v>
      </c>
      <c r="C7" s="69"/>
      <c r="D7" s="69"/>
      <c r="E7" s="67"/>
      <c r="F7" s="67"/>
      <c r="G7" s="67"/>
      <c r="H7" s="67"/>
      <c r="I7" s="67"/>
      <c r="J7" s="67"/>
      <c r="K7" s="67"/>
      <c r="L7" s="67"/>
      <c r="M7" s="67"/>
      <c r="N7" s="67"/>
      <c r="O7" s="67"/>
      <c r="P7" s="67"/>
      <c r="Q7" s="67"/>
      <c r="R7" s="67"/>
      <c r="S7" s="67"/>
      <c r="T7" s="67"/>
      <c r="U7" s="67"/>
      <c r="V7" s="67"/>
      <c r="W7" s="67"/>
      <c r="X7" s="67"/>
      <c r="Y7" s="67"/>
      <c r="Z7" s="67"/>
      <c r="AA7" s="67"/>
      <c r="AB7" s="67"/>
      <c r="AC7" s="67"/>
    </row>
    <row r="8" spans="1:32" s="68" customFormat="1" x14ac:dyDescent="0.2">
      <c r="A8" s="65" t="s">
        <v>55</v>
      </c>
      <c r="B8" s="67">
        <f>B7/B5</f>
        <v>111.59999999999998</v>
      </c>
      <c r="C8" s="67"/>
      <c r="D8" s="69"/>
      <c r="E8" s="67"/>
      <c r="F8" s="73"/>
      <c r="G8" s="67"/>
      <c r="H8" s="67"/>
      <c r="I8" s="67"/>
      <c r="J8" s="67"/>
      <c r="K8" s="67"/>
      <c r="L8" s="67"/>
      <c r="M8" s="67"/>
      <c r="N8" s="67"/>
      <c r="O8" s="67"/>
      <c r="P8" s="67"/>
      <c r="Q8" s="67"/>
      <c r="R8" s="67"/>
      <c r="S8" s="67"/>
      <c r="T8" s="67"/>
      <c r="U8" s="67"/>
      <c r="V8" s="67"/>
      <c r="W8" s="67"/>
      <c r="X8" s="67"/>
      <c r="Y8" s="67"/>
      <c r="Z8" s="67"/>
      <c r="AA8" s="67"/>
      <c r="AB8" s="67"/>
      <c r="AC8" s="67"/>
    </row>
    <row r="9" spans="1:32" s="68" customFormat="1" x14ac:dyDescent="0.2">
      <c r="A9" s="65" t="s">
        <v>56</v>
      </c>
      <c r="B9" s="67">
        <f>B4*C9</f>
        <v>6</v>
      </c>
      <c r="C9" s="67">
        <v>1</v>
      </c>
      <c r="D9" s="69" t="s">
        <v>57</v>
      </c>
      <c r="E9" s="73"/>
      <c r="F9" s="73"/>
      <c r="G9" s="8" t="s">
        <v>58</v>
      </c>
      <c r="H9" s="9">
        <v>0.4</v>
      </c>
      <c r="I9" s="73"/>
      <c r="J9" s="73"/>
      <c r="K9" s="73"/>
      <c r="L9" s="73"/>
      <c r="M9" s="73"/>
      <c r="N9" s="73"/>
      <c r="O9" s="73"/>
      <c r="P9" s="73"/>
      <c r="Q9" s="73"/>
      <c r="R9" s="73"/>
      <c r="S9" s="73"/>
      <c r="T9" s="73"/>
      <c r="U9" s="73"/>
      <c r="V9" s="73"/>
      <c r="W9" s="73"/>
      <c r="X9" s="73"/>
      <c r="Y9" s="73"/>
      <c r="Z9" s="73"/>
      <c r="AA9" s="73"/>
      <c r="AB9" s="73"/>
      <c r="AC9" s="73"/>
      <c r="AD9" s="74"/>
      <c r="AE9" s="74"/>
      <c r="AF9" s="74"/>
    </row>
    <row r="10" spans="1:32" s="68" customFormat="1" x14ac:dyDescent="0.2">
      <c r="A10" s="65" t="s">
        <v>59</v>
      </c>
      <c r="B10" s="67">
        <f>B4*C10</f>
        <v>132.60000000000002</v>
      </c>
      <c r="C10" s="67">
        <v>22.1</v>
      </c>
      <c r="D10" s="69" t="s">
        <v>57</v>
      </c>
      <c r="E10" s="69"/>
      <c r="F10" s="69"/>
      <c r="G10" s="10" t="s">
        <v>60</v>
      </c>
      <c r="H10" s="9">
        <v>0.34599999999999997</v>
      </c>
      <c r="I10" s="69"/>
      <c r="J10" s="69"/>
      <c r="K10" s="69"/>
      <c r="L10" s="69"/>
      <c r="M10" s="69"/>
      <c r="N10" s="69"/>
      <c r="O10" s="69"/>
      <c r="P10" s="69"/>
      <c r="Q10" s="69"/>
      <c r="R10" s="69"/>
      <c r="S10" s="69"/>
      <c r="T10" s="69"/>
      <c r="U10" s="69"/>
      <c r="V10" s="69"/>
      <c r="W10" s="69"/>
      <c r="X10" s="69"/>
      <c r="Y10" s="69"/>
      <c r="Z10" s="69"/>
      <c r="AA10" s="69"/>
      <c r="AB10" s="69"/>
      <c r="AC10" s="69"/>
    </row>
    <row r="11" spans="1:32" s="68" customFormat="1" x14ac:dyDescent="0.2">
      <c r="A11" s="181" t="s">
        <v>61</v>
      </c>
      <c r="B11" s="182">
        <f>C11*B4</f>
        <v>18</v>
      </c>
      <c r="C11" s="183">
        <v>3</v>
      </c>
      <c r="D11" s="184" t="s">
        <v>57</v>
      </c>
      <c r="E11" s="69"/>
      <c r="F11" s="69"/>
      <c r="G11" s="10"/>
      <c r="H11" s="9"/>
      <c r="I11" s="69"/>
      <c r="J11" s="69"/>
      <c r="K11" s="69"/>
      <c r="L11" s="69"/>
      <c r="M11" s="69"/>
      <c r="N11" s="69"/>
      <c r="O11" s="69"/>
      <c r="P11" s="69"/>
      <c r="Q11" s="69"/>
      <c r="R11" s="69"/>
      <c r="S11" s="69"/>
      <c r="T11" s="69"/>
      <c r="U11" s="69"/>
      <c r="V11" s="69"/>
      <c r="W11" s="69"/>
      <c r="X11" s="69"/>
      <c r="Y11" s="69"/>
      <c r="Z11" s="69"/>
      <c r="AA11" s="69"/>
      <c r="AB11" s="69"/>
      <c r="AC11" s="69"/>
    </row>
    <row r="12" spans="1:32" s="68" customFormat="1" x14ac:dyDescent="0.2">
      <c r="C12" s="75"/>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row>
    <row r="13" spans="1:32" s="79" customFormat="1" ht="59.25" x14ac:dyDescent="0.2">
      <c r="A13" s="76" t="s">
        <v>62</v>
      </c>
      <c r="B13" s="77" t="s">
        <v>63</v>
      </c>
      <c r="C13" s="77" t="s">
        <v>63</v>
      </c>
      <c r="D13" s="77" t="s">
        <v>63</v>
      </c>
      <c r="E13" s="77" t="s">
        <v>63</v>
      </c>
      <c r="F13" s="77" t="s">
        <v>63</v>
      </c>
      <c r="G13" s="77" t="s">
        <v>63</v>
      </c>
      <c r="H13" s="77" t="s">
        <v>64</v>
      </c>
      <c r="I13" s="77" t="s">
        <v>64</v>
      </c>
      <c r="J13" s="77" t="s">
        <v>64</v>
      </c>
      <c r="K13" s="77" t="s">
        <v>65</v>
      </c>
      <c r="L13" s="77" t="s">
        <v>66</v>
      </c>
      <c r="M13" s="77" t="s">
        <v>66</v>
      </c>
      <c r="N13" s="77" t="s">
        <v>67</v>
      </c>
      <c r="O13" s="77" t="s">
        <v>67</v>
      </c>
      <c r="P13" s="77" t="s">
        <v>67</v>
      </c>
      <c r="Q13" s="77" t="s">
        <v>67</v>
      </c>
      <c r="R13" s="77" t="s">
        <v>68</v>
      </c>
      <c r="S13" s="77" t="s">
        <v>68</v>
      </c>
      <c r="T13" s="77" t="s">
        <v>68</v>
      </c>
      <c r="U13" s="77" t="s">
        <v>68</v>
      </c>
      <c r="V13" s="77" t="s">
        <v>68</v>
      </c>
      <c r="W13" s="77" t="s">
        <v>68</v>
      </c>
      <c r="X13" s="77" t="s">
        <v>69</v>
      </c>
      <c r="Y13" s="77" t="s">
        <v>69</v>
      </c>
      <c r="Z13" s="77" t="s">
        <v>69</v>
      </c>
      <c r="AA13" s="77" t="s">
        <v>69</v>
      </c>
      <c r="AB13" s="78" t="s">
        <v>69</v>
      </c>
      <c r="AC13" s="178" t="s">
        <v>70</v>
      </c>
    </row>
    <row r="14" spans="1:32" s="79" customFormat="1" ht="12" x14ac:dyDescent="0.2">
      <c r="A14" s="76" t="s">
        <v>71</v>
      </c>
      <c r="B14" s="80" t="s">
        <v>72</v>
      </c>
      <c r="C14" s="80" t="s">
        <v>73</v>
      </c>
      <c r="D14" s="80" t="s">
        <v>74</v>
      </c>
      <c r="E14" s="80" t="s">
        <v>75</v>
      </c>
      <c r="F14" s="80" t="s">
        <v>76</v>
      </c>
      <c r="G14" s="80" t="s">
        <v>77</v>
      </c>
      <c r="H14" s="80" t="s">
        <v>78</v>
      </c>
      <c r="I14" s="80" t="s">
        <v>79</v>
      </c>
      <c r="J14" s="80" t="s">
        <v>80</v>
      </c>
      <c r="K14" s="80" t="s">
        <v>81</v>
      </c>
      <c r="L14" s="80" t="s">
        <v>82</v>
      </c>
      <c r="M14" s="80" t="s">
        <v>83</v>
      </c>
      <c r="N14" s="80" t="s">
        <v>84</v>
      </c>
      <c r="O14" s="80" t="s">
        <v>85</v>
      </c>
      <c r="P14" s="80" t="s">
        <v>86</v>
      </c>
      <c r="Q14" s="80" t="s">
        <v>87</v>
      </c>
      <c r="R14" s="80" t="s">
        <v>88</v>
      </c>
      <c r="S14" s="80" t="s">
        <v>89</v>
      </c>
      <c r="T14" s="80" t="s">
        <v>90</v>
      </c>
      <c r="U14" s="80" t="s">
        <v>91</v>
      </c>
      <c r="V14" s="80" t="s">
        <v>92</v>
      </c>
      <c r="W14" s="80" t="s">
        <v>93</v>
      </c>
      <c r="X14" s="80" t="s">
        <v>87</v>
      </c>
      <c r="Y14" s="80" t="s">
        <v>94</v>
      </c>
      <c r="Z14" s="80" t="s">
        <v>95</v>
      </c>
      <c r="AA14" s="80" t="s">
        <v>96</v>
      </c>
      <c r="AB14" s="462" t="s">
        <v>97</v>
      </c>
      <c r="AC14" s="24" t="s">
        <v>98</v>
      </c>
    </row>
    <row r="15" spans="1:32" s="79" customFormat="1" ht="12" x14ac:dyDescent="0.2">
      <c r="A15" s="76" t="s">
        <v>99</v>
      </c>
      <c r="B15" s="80">
        <v>1</v>
      </c>
      <c r="C15" s="80">
        <v>2</v>
      </c>
      <c r="D15" s="80">
        <v>3</v>
      </c>
      <c r="E15" s="80">
        <v>4</v>
      </c>
      <c r="F15" s="80">
        <v>5</v>
      </c>
      <c r="G15" s="80">
        <v>6</v>
      </c>
      <c r="H15" s="80">
        <v>7</v>
      </c>
      <c r="I15" s="80">
        <v>8</v>
      </c>
      <c r="J15" s="80">
        <v>9</v>
      </c>
      <c r="K15" s="80">
        <v>10</v>
      </c>
      <c r="L15" s="80">
        <v>11</v>
      </c>
      <c r="M15" s="80">
        <v>12</v>
      </c>
      <c r="N15" s="80">
        <v>13</v>
      </c>
      <c r="O15" s="80">
        <v>14</v>
      </c>
      <c r="P15" s="80">
        <v>15</v>
      </c>
      <c r="Q15" s="80">
        <v>16</v>
      </c>
      <c r="R15" s="80">
        <v>17</v>
      </c>
      <c r="S15" s="80">
        <v>18</v>
      </c>
      <c r="T15" s="80">
        <v>19</v>
      </c>
      <c r="U15" s="80">
        <v>20</v>
      </c>
      <c r="V15" s="80">
        <v>21</v>
      </c>
      <c r="W15" s="80">
        <v>22</v>
      </c>
      <c r="X15" s="80">
        <v>23</v>
      </c>
      <c r="Y15" s="80">
        <v>24</v>
      </c>
      <c r="Z15" s="80">
        <v>25</v>
      </c>
      <c r="AA15" s="80">
        <v>26</v>
      </c>
      <c r="AB15" s="462">
        <v>27</v>
      </c>
      <c r="AC15" s="80">
        <v>28</v>
      </c>
    </row>
    <row r="16" spans="1:32" s="82" customFormat="1" ht="12" x14ac:dyDescent="0.2">
      <c r="A16" s="76" t="s">
        <v>100</v>
      </c>
      <c r="B16" s="480" t="s">
        <v>101</v>
      </c>
      <c r="C16" s="481"/>
      <c r="D16" s="481"/>
      <c r="E16" s="481"/>
      <c r="F16" s="481"/>
      <c r="G16" s="482"/>
      <c r="H16" s="470" t="s">
        <v>102</v>
      </c>
      <c r="I16" s="471"/>
      <c r="J16" s="479"/>
      <c r="K16" s="470" t="s">
        <v>103</v>
      </c>
      <c r="L16" s="471"/>
      <c r="M16" s="479"/>
      <c r="N16" s="470" t="s">
        <v>67</v>
      </c>
      <c r="O16" s="471"/>
      <c r="P16" s="471"/>
      <c r="Q16" s="479"/>
      <c r="R16" s="470" t="s">
        <v>104</v>
      </c>
      <c r="S16" s="471"/>
      <c r="T16" s="471"/>
      <c r="U16" s="471"/>
      <c r="V16" s="471"/>
      <c r="W16" s="479"/>
      <c r="X16" s="470" t="s">
        <v>69</v>
      </c>
      <c r="Y16" s="471"/>
      <c r="Z16" s="471"/>
      <c r="AA16" s="471"/>
      <c r="AB16" s="471"/>
      <c r="AC16" s="24" t="s">
        <v>105</v>
      </c>
    </row>
    <row r="17" spans="1:33" s="69" customFormat="1" ht="12.75" x14ac:dyDescent="0.2">
      <c r="A17" s="83" t="s">
        <v>106</v>
      </c>
      <c r="B17" s="84"/>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28"/>
    </row>
    <row r="18" spans="1:33" ht="12" x14ac:dyDescent="0.2">
      <c r="A18" s="36" t="s">
        <v>107</v>
      </c>
      <c r="B18" s="98">
        <f t="shared" ref="B18:AC18" si="0">IF(B75&lt;80,B76,MIN(B75,80))</f>
        <v>0</v>
      </c>
      <c r="C18" s="98">
        <f t="shared" si="0"/>
        <v>0</v>
      </c>
      <c r="D18" s="98">
        <f t="shared" si="0"/>
        <v>0</v>
      </c>
      <c r="E18" s="98">
        <f t="shared" si="0"/>
        <v>0</v>
      </c>
      <c r="F18" s="98">
        <f t="shared" si="0"/>
        <v>0</v>
      </c>
      <c r="G18" s="98">
        <f t="shared" si="0"/>
        <v>0.34824545979032351</v>
      </c>
      <c r="H18" s="98">
        <f t="shared" si="0"/>
        <v>2.3482454597903235</v>
      </c>
      <c r="I18" s="98">
        <f t="shared" si="0"/>
        <v>2.3482454597903235</v>
      </c>
      <c r="J18" s="98">
        <f t="shared" si="0"/>
        <v>12.348245459790324</v>
      </c>
      <c r="K18" s="98">
        <f t="shared" si="0"/>
        <v>37.34824545979032</v>
      </c>
      <c r="L18" s="98">
        <f t="shared" si="0"/>
        <v>80</v>
      </c>
      <c r="M18" s="98">
        <f t="shared" si="0"/>
        <v>80</v>
      </c>
      <c r="N18" s="98">
        <f t="shared" si="0"/>
        <v>80</v>
      </c>
      <c r="O18" s="98">
        <f t="shared" si="0"/>
        <v>80</v>
      </c>
      <c r="P18" s="98">
        <f t="shared" si="0"/>
        <v>80</v>
      </c>
      <c r="Q18" s="98">
        <f t="shared" si="0"/>
        <v>80</v>
      </c>
      <c r="R18" s="98">
        <f t="shared" si="0"/>
        <v>80</v>
      </c>
      <c r="S18" s="98">
        <f t="shared" si="0"/>
        <v>80</v>
      </c>
      <c r="T18" s="98">
        <f t="shared" si="0"/>
        <v>80</v>
      </c>
      <c r="U18" s="98">
        <f t="shared" si="0"/>
        <v>80</v>
      </c>
      <c r="V18" s="98">
        <f t="shared" si="0"/>
        <v>80</v>
      </c>
      <c r="W18" s="98">
        <f t="shared" si="0"/>
        <v>80</v>
      </c>
      <c r="X18" s="98">
        <f t="shared" si="0"/>
        <v>80</v>
      </c>
      <c r="Y18" s="98">
        <f t="shared" si="0"/>
        <v>80</v>
      </c>
      <c r="Z18" s="98">
        <f t="shared" si="0"/>
        <v>80</v>
      </c>
      <c r="AA18" s="98">
        <f t="shared" si="0"/>
        <v>61.34824545979032</v>
      </c>
      <c r="AB18" s="98">
        <f t="shared" si="0"/>
        <v>42.34824545979032</v>
      </c>
      <c r="AC18" s="98">
        <f t="shared" si="0"/>
        <v>0</v>
      </c>
    </row>
    <row r="19" spans="1:33" ht="12" x14ac:dyDescent="0.2">
      <c r="A19" s="1" t="s">
        <v>108</v>
      </c>
      <c r="B19" s="87">
        <v>0.5</v>
      </c>
      <c r="C19" s="87">
        <v>0.5</v>
      </c>
      <c r="D19" s="87">
        <v>0.5</v>
      </c>
      <c r="E19" s="87">
        <v>0.5</v>
      </c>
      <c r="F19" s="87">
        <v>0.5</v>
      </c>
      <c r="G19" s="87">
        <v>0.5</v>
      </c>
      <c r="H19" s="87">
        <v>0.55000000000000004</v>
      </c>
      <c r="I19" s="87">
        <v>0.6</v>
      </c>
      <c r="J19" s="87">
        <v>0.65</v>
      </c>
      <c r="K19" s="87">
        <v>0.7</v>
      </c>
      <c r="L19" s="87">
        <v>0.7</v>
      </c>
      <c r="M19" s="87">
        <v>0.7</v>
      </c>
      <c r="N19" s="87">
        <v>0.7</v>
      </c>
      <c r="O19" s="87">
        <v>0.7</v>
      </c>
      <c r="P19" s="87">
        <v>0.7</v>
      </c>
      <c r="Q19" s="87">
        <v>0.4</v>
      </c>
      <c r="R19" s="87">
        <v>0.8</v>
      </c>
      <c r="S19" s="87">
        <v>0.8</v>
      </c>
      <c r="T19" s="87">
        <v>0.8</v>
      </c>
      <c r="U19" s="87">
        <v>0.8</v>
      </c>
      <c r="V19" s="87">
        <v>0.8</v>
      </c>
      <c r="W19" s="87">
        <v>0.7</v>
      </c>
      <c r="X19" s="87">
        <v>0.4</v>
      </c>
      <c r="Y19" s="87">
        <v>0.6</v>
      </c>
      <c r="Z19" s="87">
        <v>0.6</v>
      </c>
      <c r="AA19" s="87">
        <v>0.6</v>
      </c>
      <c r="AB19" s="88">
        <v>0.6</v>
      </c>
      <c r="AC19" s="87">
        <v>0.4</v>
      </c>
    </row>
    <row r="20" spans="1:33" ht="12" x14ac:dyDescent="0.2">
      <c r="A20" s="185" t="s">
        <v>109</v>
      </c>
      <c r="B20" s="186"/>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8"/>
      <c r="AC20" s="188"/>
    </row>
    <row r="21" spans="1:33" ht="12" x14ac:dyDescent="0.2">
      <c r="A21" s="2" t="s">
        <v>110</v>
      </c>
      <c r="B21" s="176">
        <f t="shared" ref="B21:AC21" si="1">B19*$B$8</f>
        <v>55.79999999999999</v>
      </c>
      <c r="C21" s="176">
        <f t="shared" si="1"/>
        <v>55.79999999999999</v>
      </c>
      <c r="D21" s="176">
        <f t="shared" si="1"/>
        <v>55.79999999999999</v>
      </c>
      <c r="E21" s="176">
        <f t="shared" si="1"/>
        <v>55.79999999999999</v>
      </c>
      <c r="F21" s="176">
        <f t="shared" si="1"/>
        <v>55.79999999999999</v>
      </c>
      <c r="G21" s="176">
        <f t="shared" si="1"/>
        <v>55.79999999999999</v>
      </c>
      <c r="H21" s="176">
        <f t="shared" si="1"/>
        <v>61.379999999999995</v>
      </c>
      <c r="I21" s="176">
        <f t="shared" si="1"/>
        <v>66.95999999999998</v>
      </c>
      <c r="J21" s="176">
        <f t="shared" si="1"/>
        <v>72.539999999999992</v>
      </c>
      <c r="K21" s="176">
        <f t="shared" si="1"/>
        <v>78.119999999999976</v>
      </c>
      <c r="L21" s="176">
        <f t="shared" si="1"/>
        <v>78.119999999999976</v>
      </c>
      <c r="M21" s="176">
        <f t="shared" si="1"/>
        <v>78.119999999999976</v>
      </c>
      <c r="N21" s="176">
        <f t="shared" si="1"/>
        <v>78.119999999999976</v>
      </c>
      <c r="O21" s="176">
        <f t="shared" si="1"/>
        <v>78.119999999999976</v>
      </c>
      <c r="P21" s="176">
        <f t="shared" si="1"/>
        <v>78.119999999999976</v>
      </c>
      <c r="Q21" s="176">
        <f t="shared" si="1"/>
        <v>44.639999999999993</v>
      </c>
      <c r="R21" s="176">
        <f t="shared" si="1"/>
        <v>89.279999999999987</v>
      </c>
      <c r="S21" s="176">
        <f t="shared" si="1"/>
        <v>89.279999999999987</v>
      </c>
      <c r="T21" s="176">
        <f t="shared" si="1"/>
        <v>89.279999999999987</v>
      </c>
      <c r="U21" s="176">
        <f t="shared" si="1"/>
        <v>89.279999999999987</v>
      </c>
      <c r="V21" s="176">
        <f t="shared" si="1"/>
        <v>89.279999999999987</v>
      </c>
      <c r="W21" s="176">
        <f t="shared" si="1"/>
        <v>78.119999999999976</v>
      </c>
      <c r="X21" s="176">
        <f t="shared" si="1"/>
        <v>44.639999999999993</v>
      </c>
      <c r="Y21" s="176">
        <f t="shared" si="1"/>
        <v>66.95999999999998</v>
      </c>
      <c r="Z21" s="176">
        <f t="shared" si="1"/>
        <v>66.95999999999998</v>
      </c>
      <c r="AA21" s="176">
        <f t="shared" si="1"/>
        <v>66.95999999999998</v>
      </c>
      <c r="AB21" s="177">
        <f t="shared" si="1"/>
        <v>66.95999999999998</v>
      </c>
      <c r="AC21" s="176">
        <f t="shared" si="1"/>
        <v>44.639999999999993</v>
      </c>
    </row>
    <row r="22" spans="1:33" ht="12" x14ac:dyDescent="0.2">
      <c r="A22" s="2" t="s">
        <v>111</v>
      </c>
      <c r="B22" s="89">
        <f t="shared" ref="B22:AC22" si="2">B21*$B$5</f>
        <v>83.699999999999989</v>
      </c>
      <c r="C22" s="89">
        <f t="shared" si="2"/>
        <v>83.699999999999989</v>
      </c>
      <c r="D22" s="89">
        <f t="shared" si="2"/>
        <v>83.699999999999989</v>
      </c>
      <c r="E22" s="89">
        <f t="shared" si="2"/>
        <v>83.699999999999989</v>
      </c>
      <c r="F22" s="89">
        <f t="shared" si="2"/>
        <v>83.699999999999989</v>
      </c>
      <c r="G22" s="89">
        <f t="shared" si="2"/>
        <v>83.699999999999989</v>
      </c>
      <c r="H22" s="89">
        <f t="shared" si="2"/>
        <v>92.07</v>
      </c>
      <c r="I22" s="89">
        <f t="shared" si="2"/>
        <v>100.43999999999997</v>
      </c>
      <c r="J22" s="89">
        <f t="shared" si="2"/>
        <v>108.80999999999999</v>
      </c>
      <c r="K22" s="89">
        <f t="shared" si="2"/>
        <v>117.17999999999996</v>
      </c>
      <c r="L22" s="89">
        <f t="shared" si="2"/>
        <v>117.17999999999996</v>
      </c>
      <c r="M22" s="89">
        <f t="shared" si="2"/>
        <v>117.17999999999996</v>
      </c>
      <c r="N22" s="89">
        <f t="shared" si="2"/>
        <v>117.17999999999996</v>
      </c>
      <c r="O22" s="89">
        <f t="shared" si="2"/>
        <v>117.17999999999996</v>
      </c>
      <c r="P22" s="89">
        <f t="shared" si="2"/>
        <v>117.17999999999996</v>
      </c>
      <c r="Q22" s="89">
        <f t="shared" si="2"/>
        <v>66.959999999999994</v>
      </c>
      <c r="R22" s="89">
        <f t="shared" si="2"/>
        <v>133.91999999999999</v>
      </c>
      <c r="S22" s="89">
        <f t="shared" si="2"/>
        <v>133.91999999999999</v>
      </c>
      <c r="T22" s="89">
        <f t="shared" si="2"/>
        <v>133.91999999999999</v>
      </c>
      <c r="U22" s="89">
        <f t="shared" si="2"/>
        <v>133.91999999999999</v>
      </c>
      <c r="V22" s="89">
        <f t="shared" si="2"/>
        <v>133.91999999999999</v>
      </c>
      <c r="W22" s="89">
        <f t="shared" si="2"/>
        <v>117.17999999999996</v>
      </c>
      <c r="X22" s="89">
        <f t="shared" si="2"/>
        <v>66.959999999999994</v>
      </c>
      <c r="Y22" s="89">
        <f t="shared" si="2"/>
        <v>100.43999999999997</v>
      </c>
      <c r="Z22" s="89">
        <f t="shared" si="2"/>
        <v>100.43999999999997</v>
      </c>
      <c r="AA22" s="89">
        <f t="shared" si="2"/>
        <v>100.43999999999997</v>
      </c>
      <c r="AB22" s="90">
        <f t="shared" si="2"/>
        <v>100.43999999999997</v>
      </c>
      <c r="AC22" s="89">
        <f t="shared" si="2"/>
        <v>66.959999999999994</v>
      </c>
    </row>
    <row r="23" spans="1:33" ht="12" x14ac:dyDescent="0.2">
      <c r="A23" s="2" t="s">
        <v>112</v>
      </c>
      <c r="B23" s="13">
        <f t="shared" ref="B23:AC23" si="3">$B$9</f>
        <v>6</v>
      </c>
      <c r="C23" s="13">
        <f t="shared" si="3"/>
        <v>6</v>
      </c>
      <c r="D23" s="13">
        <f t="shared" si="3"/>
        <v>6</v>
      </c>
      <c r="E23" s="13">
        <f t="shared" si="3"/>
        <v>6</v>
      </c>
      <c r="F23" s="13">
        <f t="shared" si="3"/>
        <v>6</v>
      </c>
      <c r="G23" s="13">
        <f t="shared" si="3"/>
        <v>6</v>
      </c>
      <c r="H23" s="13">
        <f t="shared" si="3"/>
        <v>6</v>
      </c>
      <c r="I23" s="13">
        <f t="shared" si="3"/>
        <v>6</v>
      </c>
      <c r="J23" s="13">
        <f t="shared" si="3"/>
        <v>6</v>
      </c>
      <c r="K23" s="13">
        <f t="shared" si="3"/>
        <v>6</v>
      </c>
      <c r="L23" s="13">
        <f t="shared" si="3"/>
        <v>6</v>
      </c>
      <c r="M23" s="13">
        <f t="shared" si="3"/>
        <v>6</v>
      </c>
      <c r="N23" s="13">
        <f t="shared" si="3"/>
        <v>6</v>
      </c>
      <c r="O23" s="13">
        <f t="shared" si="3"/>
        <v>6</v>
      </c>
      <c r="P23" s="13">
        <f t="shared" si="3"/>
        <v>6</v>
      </c>
      <c r="Q23" s="13">
        <f t="shared" si="3"/>
        <v>6</v>
      </c>
      <c r="R23" s="13">
        <f t="shared" si="3"/>
        <v>6</v>
      </c>
      <c r="S23" s="13">
        <f t="shared" si="3"/>
        <v>6</v>
      </c>
      <c r="T23" s="13">
        <f t="shared" si="3"/>
        <v>6</v>
      </c>
      <c r="U23" s="13">
        <f t="shared" si="3"/>
        <v>6</v>
      </c>
      <c r="V23" s="13">
        <f t="shared" si="3"/>
        <v>6</v>
      </c>
      <c r="W23" s="13">
        <f t="shared" si="3"/>
        <v>6</v>
      </c>
      <c r="X23" s="13">
        <f t="shared" si="3"/>
        <v>6</v>
      </c>
      <c r="Y23" s="13">
        <f t="shared" si="3"/>
        <v>6</v>
      </c>
      <c r="Z23" s="13">
        <f t="shared" si="3"/>
        <v>6</v>
      </c>
      <c r="AA23" s="13">
        <f t="shared" si="3"/>
        <v>6</v>
      </c>
      <c r="AB23" s="14">
        <f t="shared" si="3"/>
        <v>6</v>
      </c>
      <c r="AC23" s="13">
        <f t="shared" si="3"/>
        <v>6</v>
      </c>
    </row>
    <row r="24" spans="1:33" ht="12" x14ac:dyDescent="0.2">
      <c r="A24" s="2" t="s">
        <v>113</v>
      </c>
      <c r="B24" s="13">
        <f t="shared" ref="B24:AB24" si="4">IF(ISBLANK(B101),0,$B$10)</f>
        <v>0</v>
      </c>
      <c r="C24" s="13">
        <f t="shared" si="4"/>
        <v>0</v>
      </c>
      <c r="D24" s="13">
        <f t="shared" si="4"/>
        <v>0</v>
      </c>
      <c r="E24" s="13">
        <f t="shared" si="4"/>
        <v>0</v>
      </c>
      <c r="F24" s="13">
        <f t="shared" si="4"/>
        <v>0</v>
      </c>
      <c r="G24" s="13">
        <f t="shared" si="4"/>
        <v>0</v>
      </c>
      <c r="H24" s="13">
        <f t="shared" si="4"/>
        <v>0</v>
      </c>
      <c r="I24" s="13">
        <f t="shared" si="4"/>
        <v>0</v>
      </c>
      <c r="J24" s="13">
        <f t="shared" si="4"/>
        <v>132.60000000000002</v>
      </c>
      <c r="K24" s="13">
        <f t="shared" si="4"/>
        <v>0</v>
      </c>
      <c r="L24" s="13">
        <f t="shared" si="4"/>
        <v>132.60000000000002</v>
      </c>
      <c r="M24" s="13">
        <f t="shared" si="4"/>
        <v>132.60000000000002</v>
      </c>
      <c r="N24" s="13">
        <f t="shared" si="4"/>
        <v>0</v>
      </c>
      <c r="O24" s="13">
        <f t="shared" si="4"/>
        <v>0</v>
      </c>
      <c r="P24" s="13">
        <f t="shared" si="4"/>
        <v>132.60000000000002</v>
      </c>
      <c r="Q24" s="13">
        <f t="shared" si="4"/>
        <v>0</v>
      </c>
      <c r="R24" s="13">
        <f t="shared" si="4"/>
        <v>132.60000000000002</v>
      </c>
      <c r="S24" s="13">
        <f t="shared" si="4"/>
        <v>132.60000000000002</v>
      </c>
      <c r="T24" s="13">
        <f t="shared" si="4"/>
        <v>132.60000000000002</v>
      </c>
      <c r="U24" s="13">
        <f t="shared" si="4"/>
        <v>132.60000000000002</v>
      </c>
      <c r="V24" s="13">
        <f t="shared" si="4"/>
        <v>132.60000000000002</v>
      </c>
      <c r="W24" s="13">
        <f t="shared" si="4"/>
        <v>132.60000000000002</v>
      </c>
      <c r="X24" s="13">
        <f t="shared" si="4"/>
        <v>0</v>
      </c>
      <c r="Y24" s="13">
        <f t="shared" si="4"/>
        <v>0</v>
      </c>
      <c r="Z24" s="13">
        <f t="shared" si="4"/>
        <v>0</v>
      </c>
      <c r="AA24" s="13">
        <f t="shared" si="4"/>
        <v>0</v>
      </c>
      <c r="AB24" s="13">
        <f t="shared" si="4"/>
        <v>0</v>
      </c>
      <c r="AC24" s="13">
        <f>IF(ISBLANK(AC98),0,$B$10)</f>
        <v>0</v>
      </c>
    </row>
    <row r="25" spans="1:33" ht="12" x14ac:dyDescent="0.2">
      <c r="A25" s="2" t="s">
        <v>114</v>
      </c>
      <c r="B25" s="89">
        <f t="shared" ref="B25:AC25" si="5">B21*$B$5+SUM(B23:B24)</f>
        <v>89.699999999999989</v>
      </c>
      <c r="C25" s="89">
        <f t="shared" si="5"/>
        <v>89.699999999999989</v>
      </c>
      <c r="D25" s="89">
        <f t="shared" si="5"/>
        <v>89.699999999999989</v>
      </c>
      <c r="E25" s="89">
        <f t="shared" si="5"/>
        <v>89.699999999999989</v>
      </c>
      <c r="F25" s="89">
        <f t="shared" si="5"/>
        <v>89.699999999999989</v>
      </c>
      <c r="G25" s="89">
        <f t="shared" si="5"/>
        <v>89.699999999999989</v>
      </c>
      <c r="H25" s="89">
        <f t="shared" si="5"/>
        <v>98.07</v>
      </c>
      <c r="I25" s="89">
        <f t="shared" si="5"/>
        <v>106.43999999999997</v>
      </c>
      <c r="J25" s="89">
        <f t="shared" si="5"/>
        <v>247.41000000000003</v>
      </c>
      <c r="K25" s="89">
        <f t="shared" si="5"/>
        <v>123.17999999999996</v>
      </c>
      <c r="L25" s="89">
        <f t="shared" si="5"/>
        <v>255.77999999999997</v>
      </c>
      <c r="M25" s="89">
        <f t="shared" si="5"/>
        <v>255.77999999999997</v>
      </c>
      <c r="N25" s="89">
        <f t="shared" si="5"/>
        <v>123.17999999999996</v>
      </c>
      <c r="O25" s="89">
        <f t="shared" si="5"/>
        <v>123.17999999999996</v>
      </c>
      <c r="P25" s="89">
        <f t="shared" si="5"/>
        <v>255.77999999999997</v>
      </c>
      <c r="Q25" s="89">
        <f t="shared" si="5"/>
        <v>72.959999999999994</v>
      </c>
      <c r="R25" s="89">
        <f t="shared" si="5"/>
        <v>272.52</v>
      </c>
      <c r="S25" s="89">
        <f t="shared" si="5"/>
        <v>272.52</v>
      </c>
      <c r="T25" s="89">
        <f t="shared" si="5"/>
        <v>272.52</v>
      </c>
      <c r="U25" s="89">
        <f t="shared" si="5"/>
        <v>272.52</v>
      </c>
      <c r="V25" s="89">
        <f t="shared" si="5"/>
        <v>272.52</v>
      </c>
      <c r="W25" s="89">
        <f t="shared" si="5"/>
        <v>255.77999999999997</v>
      </c>
      <c r="X25" s="89">
        <f t="shared" si="5"/>
        <v>72.959999999999994</v>
      </c>
      <c r="Y25" s="89">
        <f t="shared" si="5"/>
        <v>106.43999999999997</v>
      </c>
      <c r="Z25" s="89">
        <f t="shared" si="5"/>
        <v>106.43999999999997</v>
      </c>
      <c r="AA25" s="89">
        <f t="shared" si="5"/>
        <v>106.43999999999997</v>
      </c>
      <c r="AB25" s="90">
        <f t="shared" si="5"/>
        <v>106.43999999999997</v>
      </c>
      <c r="AC25" s="89">
        <f t="shared" si="5"/>
        <v>72.959999999999994</v>
      </c>
    </row>
    <row r="26" spans="1:33" ht="12" x14ac:dyDescent="0.2">
      <c r="A26" s="3" t="s">
        <v>115</v>
      </c>
      <c r="B26" s="174">
        <f t="shared" ref="B26:AB26" si="6">-IF(ISBLANK(B100),0,MIN(B$22*$H$10,B$22-$B$7*$H$9))</f>
        <v>-16.739999999999995</v>
      </c>
      <c r="C26" s="174">
        <f t="shared" si="6"/>
        <v>-16.739999999999995</v>
      </c>
      <c r="D26" s="174">
        <f t="shared" si="6"/>
        <v>-16.739999999999995</v>
      </c>
      <c r="E26" s="174">
        <f t="shared" si="6"/>
        <v>0</v>
      </c>
      <c r="F26" s="174">
        <f t="shared" si="6"/>
        <v>-16.739999999999995</v>
      </c>
      <c r="G26" s="174">
        <f t="shared" si="6"/>
        <v>-16.739999999999995</v>
      </c>
      <c r="H26" s="174">
        <f t="shared" si="6"/>
        <v>-25.11</v>
      </c>
      <c r="I26" s="174">
        <f t="shared" si="6"/>
        <v>-33.479999999999976</v>
      </c>
      <c r="J26" s="174">
        <f t="shared" si="6"/>
        <v>0</v>
      </c>
      <c r="K26" s="174">
        <f t="shared" si="6"/>
        <v>0</v>
      </c>
      <c r="L26" s="174">
        <f t="shared" si="6"/>
        <v>0</v>
      </c>
      <c r="M26" s="174">
        <f t="shared" si="6"/>
        <v>0</v>
      </c>
      <c r="N26" s="174">
        <f t="shared" si="6"/>
        <v>-40.544279999999986</v>
      </c>
      <c r="O26" s="174">
        <f t="shared" si="6"/>
        <v>-40.544279999999986</v>
      </c>
      <c r="P26" s="174">
        <f t="shared" si="6"/>
        <v>0</v>
      </c>
      <c r="Q26" s="174">
        <f t="shared" si="6"/>
        <v>0</v>
      </c>
      <c r="R26" s="174">
        <f t="shared" si="6"/>
        <v>0</v>
      </c>
      <c r="S26" s="174">
        <f t="shared" si="6"/>
        <v>0</v>
      </c>
      <c r="T26" s="174">
        <f t="shared" si="6"/>
        <v>0</v>
      </c>
      <c r="U26" s="174">
        <f t="shared" si="6"/>
        <v>0</v>
      </c>
      <c r="V26" s="174">
        <f t="shared" si="6"/>
        <v>0</v>
      </c>
      <c r="W26" s="174">
        <f t="shared" si="6"/>
        <v>0</v>
      </c>
      <c r="X26" s="174">
        <f t="shared" si="6"/>
        <v>0</v>
      </c>
      <c r="Y26" s="174">
        <f t="shared" si="6"/>
        <v>-33.479999999999976</v>
      </c>
      <c r="Z26" s="174">
        <f t="shared" si="6"/>
        <v>-33.479999999999976</v>
      </c>
      <c r="AA26" s="174">
        <f t="shared" si="6"/>
        <v>-33.479999999999976</v>
      </c>
      <c r="AB26" s="174">
        <f t="shared" si="6"/>
        <v>-33.479999999999976</v>
      </c>
      <c r="AC26" s="174">
        <f>-IF(ISBLANK(#REF!),0,MIN(AC$22*$H$10,AC$22-$B$7*$H$9))</f>
        <v>0</v>
      </c>
    </row>
    <row r="27" spans="1:33" ht="12" x14ac:dyDescent="0.2">
      <c r="A27" s="2" t="s">
        <v>116</v>
      </c>
      <c r="B27" s="174">
        <f t="shared" ref="B27:AC27" si="7">SUM(B25:B26)</f>
        <v>72.959999999999994</v>
      </c>
      <c r="C27" s="174">
        <f t="shared" si="7"/>
        <v>72.959999999999994</v>
      </c>
      <c r="D27" s="174">
        <f t="shared" si="7"/>
        <v>72.959999999999994</v>
      </c>
      <c r="E27" s="174">
        <f t="shared" si="7"/>
        <v>89.699999999999989</v>
      </c>
      <c r="F27" s="174">
        <f t="shared" si="7"/>
        <v>72.959999999999994</v>
      </c>
      <c r="G27" s="174">
        <f t="shared" si="7"/>
        <v>72.959999999999994</v>
      </c>
      <c r="H27" s="174">
        <f t="shared" si="7"/>
        <v>72.959999999999994</v>
      </c>
      <c r="I27" s="174">
        <f t="shared" si="7"/>
        <v>72.959999999999994</v>
      </c>
      <c r="J27" s="174">
        <f t="shared" si="7"/>
        <v>247.41000000000003</v>
      </c>
      <c r="K27" s="174">
        <f t="shared" si="7"/>
        <v>123.17999999999996</v>
      </c>
      <c r="L27" s="174">
        <f t="shared" si="7"/>
        <v>255.77999999999997</v>
      </c>
      <c r="M27" s="174">
        <f t="shared" si="7"/>
        <v>255.77999999999997</v>
      </c>
      <c r="N27" s="174">
        <f t="shared" si="7"/>
        <v>82.635719999999978</v>
      </c>
      <c r="O27" s="174">
        <f t="shared" si="7"/>
        <v>82.635719999999978</v>
      </c>
      <c r="P27" s="174">
        <f t="shared" si="7"/>
        <v>255.77999999999997</v>
      </c>
      <c r="Q27" s="174">
        <f t="shared" si="7"/>
        <v>72.959999999999994</v>
      </c>
      <c r="R27" s="174">
        <f t="shared" si="7"/>
        <v>272.52</v>
      </c>
      <c r="S27" s="174">
        <f t="shared" si="7"/>
        <v>272.52</v>
      </c>
      <c r="T27" s="174">
        <f t="shared" si="7"/>
        <v>272.52</v>
      </c>
      <c r="U27" s="174">
        <f t="shared" si="7"/>
        <v>272.52</v>
      </c>
      <c r="V27" s="174">
        <f t="shared" si="7"/>
        <v>272.52</v>
      </c>
      <c r="W27" s="174">
        <f t="shared" si="7"/>
        <v>255.77999999999997</v>
      </c>
      <c r="X27" s="174">
        <f t="shared" si="7"/>
        <v>72.959999999999994</v>
      </c>
      <c r="Y27" s="174">
        <f t="shared" si="7"/>
        <v>72.959999999999994</v>
      </c>
      <c r="Z27" s="174">
        <f t="shared" si="7"/>
        <v>72.959999999999994</v>
      </c>
      <c r="AA27" s="174">
        <f t="shared" si="7"/>
        <v>72.959999999999994</v>
      </c>
      <c r="AB27" s="175">
        <f t="shared" si="7"/>
        <v>72.959999999999994</v>
      </c>
      <c r="AC27" s="174">
        <f t="shared" si="7"/>
        <v>72.959999999999994</v>
      </c>
    </row>
    <row r="28" spans="1:33" ht="12" x14ac:dyDescent="0.2">
      <c r="A28" s="3" t="s">
        <v>117</v>
      </c>
      <c r="B28" s="89">
        <f>AVERAGE(AA25:AB25,B25)</f>
        <v>100.85999999999997</v>
      </c>
      <c r="C28" s="89">
        <f>AVERAGE(AB25,B25:C25)</f>
        <v>95.279999999999973</v>
      </c>
      <c r="D28" s="89">
        <f t="shared" ref="D28:AB28" si="8">AVERAGE(B25:D25)</f>
        <v>89.699999999999989</v>
      </c>
      <c r="E28" s="89">
        <f t="shared" si="8"/>
        <v>89.699999999999989</v>
      </c>
      <c r="F28" s="89">
        <f t="shared" si="8"/>
        <v>89.699999999999989</v>
      </c>
      <c r="G28" s="89">
        <f t="shared" si="8"/>
        <v>89.699999999999989</v>
      </c>
      <c r="H28" s="89">
        <f t="shared" si="8"/>
        <v>92.49</v>
      </c>
      <c r="I28" s="89">
        <f t="shared" si="8"/>
        <v>98.069999999999979</v>
      </c>
      <c r="J28" s="89">
        <f t="shared" si="8"/>
        <v>150.63999999999999</v>
      </c>
      <c r="K28" s="89">
        <f t="shared" si="8"/>
        <v>159.01</v>
      </c>
      <c r="L28" s="89">
        <f t="shared" si="8"/>
        <v>208.78999999999996</v>
      </c>
      <c r="M28" s="89">
        <f t="shared" si="8"/>
        <v>211.57999999999996</v>
      </c>
      <c r="N28" s="89">
        <f t="shared" si="8"/>
        <v>211.57999999999996</v>
      </c>
      <c r="O28" s="89">
        <f t="shared" si="8"/>
        <v>167.37999999999997</v>
      </c>
      <c r="P28" s="89">
        <f t="shared" si="8"/>
        <v>167.37999999999997</v>
      </c>
      <c r="Q28" s="89">
        <f t="shared" si="8"/>
        <v>150.63999999999996</v>
      </c>
      <c r="R28" s="89">
        <f t="shared" si="8"/>
        <v>200.42</v>
      </c>
      <c r="S28" s="89">
        <f t="shared" si="8"/>
        <v>206</v>
      </c>
      <c r="T28" s="89">
        <f t="shared" si="8"/>
        <v>272.52</v>
      </c>
      <c r="U28" s="89">
        <f t="shared" si="8"/>
        <v>272.52</v>
      </c>
      <c r="V28" s="89">
        <f t="shared" si="8"/>
        <v>272.52</v>
      </c>
      <c r="W28" s="89">
        <f t="shared" si="8"/>
        <v>266.94</v>
      </c>
      <c r="X28" s="89">
        <f t="shared" si="8"/>
        <v>200.42</v>
      </c>
      <c r="Y28" s="89">
        <f t="shared" si="8"/>
        <v>145.05999999999997</v>
      </c>
      <c r="Z28" s="89">
        <f t="shared" si="8"/>
        <v>95.279999999999973</v>
      </c>
      <c r="AA28" s="89">
        <f t="shared" si="8"/>
        <v>106.43999999999998</v>
      </c>
      <c r="AB28" s="90">
        <f t="shared" si="8"/>
        <v>106.43999999999998</v>
      </c>
      <c r="AC28" s="174">
        <f>AC27</f>
        <v>72.959999999999994</v>
      </c>
    </row>
    <row r="29" spans="1:33" ht="12" x14ac:dyDescent="0.2">
      <c r="A29" s="189" t="s">
        <v>118</v>
      </c>
      <c r="B29" s="6"/>
      <c r="C29" s="190"/>
      <c r="D29" s="190"/>
      <c r="E29" s="190"/>
      <c r="F29" s="190"/>
      <c r="G29" s="190"/>
      <c r="H29" s="190"/>
      <c r="I29" s="190"/>
      <c r="J29" s="190"/>
      <c r="K29" s="190"/>
      <c r="L29" s="190"/>
      <c r="M29" s="190"/>
      <c r="N29" s="190"/>
      <c r="O29" s="190"/>
      <c r="P29" s="190"/>
      <c r="Q29" s="190"/>
      <c r="R29" s="190"/>
      <c r="S29" s="190"/>
      <c r="T29" s="190"/>
      <c r="U29" s="190"/>
      <c r="V29" s="190"/>
      <c r="W29" s="190"/>
      <c r="X29" s="190"/>
      <c r="Y29" s="190"/>
      <c r="Z29" s="190"/>
      <c r="AA29" s="190"/>
      <c r="AB29" s="190"/>
      <c r="AC29" s="4"/>
    </row>
    <row r="30" spans="1:33" ht="12" x14ac:dyDescent="0.2">
      <c r="A30" s="3" t="s">
        <v>119</v>
      </c>
      <c r="B30" s="5">
        <f t="shared" ref="B30:AC30" si="9">IF(ISBLANK(B100),0,$B$11)</f>
        <v>18</v>
      </c>
      <c r="C30" s="5">
        <f t="shared" si="9"/>
        <v>18</v>
      </c>
      <c r="D30" s="5">
        <f t="shared" si="9"/>
        <v>18</v>
      </c>
      <c r="E30" s="5">
        <f t="shared" si="9"/>
        <v>0</v>
      </c>
      <c r="F30" s="5">
        <f t="shared" si="9"/>
        <v>18</v>
      </c>
      <c r="G30" s="5">
        <f t="shared" si="9"/>
        <v>18</v>
      </c>
      <c r="H30" s="5">
        <f t="shared" si="9"/>
        <v>18</v>
      </c>
      <c r="I30" s="5">
        <f t="shared" si="9"/>
        <v>18</v>
      </c>
      <c r="J30" s="5">
        <f t="shared" si="9"/>
        <v>0</v>
      </c>
      <c r="K30" s="5">
        <f t="shared" si="9"/>
        <v>0</v>
      </c>
      <c r="L30" s="5">
        <f t="shared" si="9"/>
        <v>0</v>
      </c>
      <c r="M30" s="5">
        <f t="shared" si="9"/>
        <v>0</v>
      </c>
      <c r="N30" s="5">
        <f t="shared" si="9"/>
        <v>18</v>
      </c>
      <c r="O30" s="5">
        <f t="shared" si="9"/>
        <v>18</v>
      </c>
      <c r="P30" s="5">
        <f t="shared" si="9"/>
        <v>0</v>
      </c>
      <c r="Q30" s="5">
        <f t="shared" si="9"/>
        <v>0</v>
      </c>
      <c r="R30" s="5">
        <f t="shared" si="9"/>
        <v>0</v>
      </c>
      <c r="S30" s="5">
        <f t="shared" si="9"/>
        <v>0</v>
      </c>
      <c r="T30" s="5">
        <f t="shared" si="9"/>
        <v>0</v>
      </c>
      <c r="U30" s="5">
        <f t="shared" si="9"/>
        <v>0</v>
      </c>
      <c r="V30" s="5">
        <f t="shared" si="9"/>
        <v>0</v>
      </c>
      <c r="W30" s="5">
        <f t="shared" si="9"/>
        <v>0</v>
      </c>
      <c r="X30" s="5">
        <f t="shared" si="9"/>
        <v>0</v>
      </c>
      <c r="Y30" s="5">
        <f t="shared" si="9"/>
        <v>18</v>
      </c>
      <c r="Z30" s="5">
        <f t="shared" si="9"/>
        <v>18</v>
      </c>
      <c r="AA30" s="5">
        <f t="shared" si="9"/>
        <v>18</v>
      </c>
      <c r="AB30" s="5">
        <f t="shared" si="9"/>
        <v>18</v>
      </c>
      <c r="AC30" s="5">
        <f t="shared" si="9"/>
        <v>18</v>
      </c>
    </row>
    <row r="31" spans="1:33" s="69" customFormat="1" ht="12.75" x14ac:dyDescent="0.2">
      <c r="A31" s="91" t="s">
        <v>120</v>
      </c>
      <c r="B31" s="88"/>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28"/>
    </row>
    <row r="32" spans="1:33" s="289" customFormat="1" ht="12" x14ac:dyDescent="0.2">
      <c r="A32" s="287" t="s">
        <v>121</v>
      </c>
      <c r="B32" s="27">
        <v>0.7</v>
      </c>
      <c r="C32" s="27">
        <v>0.7</v>
      </c>
      <c r="D32" s="27">
        <v>0.7</v>
      </c>
      <c r="E32" s="27">
        <v>0.7</v>
      </c>
      <c r="F32" s="27">
        <v>0.7</v>
      </c>
      <c r="G32" s="27">
        <v>0.7</v>
      </c>
      <c r="H32" s="27">
        <v>0.8</v>
      </c>
      <c r="I32" s="27">
        <v>0.8</v>
      </c>
      <c r="J32" s="27">
        <v>0.8</v>
      </c>
      <c r="K32" s="27">
        <v>0.9</v>
      </c>
      <c r="L32" s="27">
        <v>0.9</v>
      </c>
      <c r="M32" s="27">
        <v>0.9</v>
      </c>
      <c r="N32" s="27">
        <v>1</v>
      </c>
      <c r="O32" s="27">
        <v>1</v>
      </c>
      <c r="P32" s="27">
        <v>1</v>
      </c>
      <c r="Q32" s="27">
        <v>1</v>
      </c>
      <c r="R32" s="27">
        <v>1</v>
      </c>
      <c r="S32" s="27">
        <v>1</v>
      </c>
      <c r="T32" s="27">
        <v>1</v>
      </c>
      <c r="U32" s="27">
        <v>1</v>
      </c>
      <c r="V32" s="27">
        <v>1</v>
      </c>
      <c r="W32" s="27">
        <v>1</v>
      </c>
      <c r="X32" s="27">
        <v>1</v>
      </c>
      <c r="Y32" s="27">
        <v>1</v>
      </c>
      <c r="Z32" s="27">
        <v>1</v>
      </c>
      <c r="AA32" s="27">
        <v>1</v>
      </c>
      <c r="AB32" s="186">
        <v>1</v>
      </c>
      <c r="AC32" s="27">
        <v>0.7</v>
      </c>
      <c r="AD32" s="288"/>
      <c r="AE32" s="288"/>
      <c r="AF32" s="288"/>
      <c r="AG32" s="288"/>
    </row>
    <row r="33" spans="1:37" s="94" customFormat="1" ht="12" x14ac:dyDescent="0.2">
      <c r="A33" s="287" t="s">
        <v>122</v>
      </c>
      <c r="B33" s="96">
        <f>0.8*B32</f>
        <v>0.55999999999999994</v>
      </c>
      <c r="C33" s="96">
        <f t="shared" ref="C33:AC33" si="10">0.8*C32</f>
        <v>0.55999999999999994</v>
      </c>
      <c r="D33" s="96">
        <f t="shared" si="10"/>
        <v>0.55999999999999994</v>
      </c>
      <c r="E33" s="96">
        <f t="shared" si="10"/>
        <v>0.55999999999999994</v>
      </c>
      <c r="F33" s="96">
        <f t="shared" si="10"/>
        <v>0.55999999999999994</v>
      </c>
      <c r="G33" s="96">
        <f t="shared" si="10"/>
        <v>0.55999999999999994</v>
      </c>
      <c r="H33" s="96">
        <f t="shared" si="10"/>
        <v>0.64000000000000012</v>
      </c>
      <c r="I33" s="96">
        <f t="shared" si="10"/>
        <v>0.64000000000000012</v>
      </c>
      <c r="J33" s="96">
        <f t="shared" si="10"/>
        <v>0.64000000000000012</v>
      </c>
      <c r="K33" s="96">
        <f t="shared" si="10"/>
        <v>0.72000000000000008</v>
      </c>
      <c r="L33" s="96">
        <f t="shared" si="10"/>
        <v>0.72000000000000008</v>
      </c>
      <c r="M33" s="96">
        <f t="shared" si="10"/>
        <v>0.72000000000000008</v>
      </c>
      <c r="N33" s="96">
        <f t="shared" si="10"/>
        <v>0.8</v>
      </c>
      <c r="O33" s="96">
        <f t="shared" si="10"/>
        <v>0.8</v>
      </c>
      <c r="P33" s="96">
        <f t="shared" si="10"/>
        <v>0.8</v>
      </c>
      <c r="Q33" s="96">
        <f t="shared" si="10"/>
        <v>0.8</v>
      </c>
      <c r="R33" s="96">
        <f t="shared" si="10"/>
        <v>0.8</v>
      </c>
      <c r="S33" s="96">
        <f t="shared" si="10"/>
        <v>0.8</v>
      </c>
      <c r="T33" s="96">
        <f t="shared" si="10"/>
        <v>0.8</v>
      </c>
      <c r="U33" s="96">
        <f t="shared" si="10"/>
        <v>0.8</v>
      </c>
      <c r="V33" s="96">
        <f t="shared" si="10"/>
        <v>0.8</v>
      </c>
      <c r="W33" s="96">
        <f t="shared" si="10"/>
        <v>0.8</v>
      </c>
      <c r="X33" s="96">
        <f t="shared" si="10"/>
        <v>0.8</v>
      </c>
      <c r="Y33" s="96">
        <f t="shared" si="10"/>
        <v>0.8</v>
      </c>
      <c r="Z33" s="96">
        <f t="shared" si="10"/>
        <v>0.8</v>
      </c>
      <c r="AA33" s="96">
        <f t="shared" si="10"/>
        <v>0.8</v>
      </c>
      <c r="AB33" s="96">
        <f t="shared" si="10"/>
        <v>0.8</v>
      </c>
      <c r="AC33" s="96">
        <f t="shared" si="10"/>
        <v>0.55999999999999994</v>
      </c>
      <c r="AD33" s="93"/>
      <c r="AE33" s="93"/>
      <c r="AF33" s="93"/>
    </row>
    <row r="34" spans="1:37" s="94" customFormat="1" ht="12" x14ac:dyDescent="0.2">
      <c r="A34" s="287" t="s">
        <v>123</v>
      </c>
      <c r="B34" s="96">
        <f t="shared" ref="B34:AC34" si="11">((B36*$B$122)/$B$2)</f>
        <v>0.47901723339672458</v>
      </c>
      <c r="C34" s="96">
        <f t="shared" si="11"/>
        <v>0.47901723339672458</v>
      </c>
      <c r="D34" s="96">
        <f t="shared" si="11"/>
        <v>0.47901723339672458</v>
      </c>
      <c r="E34" s="96">
        <f t="shared" si="11"/>
        <v>0.47901723339672458</v>
      </c>
      <c r="F34" s="96">
        <f t="shared" si="11"/>
        <v>0.47901723339672458</v>
      </c>
      <c r="G34" s="96">
        <f t="shared" si="11"/>
        <v>0.47901723339672458</v>
      </c>
      <c r="H34" s="96">
        <f t="shared" si="11"/>
        <v>0.54744826673911384</v>
      </c>
      <c r="I34" s="96">
        <f t="shared" si="11"/>
        <v>0.54744826673911384</v>
      </c>
      <c r="J34" s="96">
        <f t="shared" si="11"/>
        <v>0.54744826673911384</v>
      </c>
      <c r="K34" s="96">
        <f t="shared" si="11"/>
        <v>0.61587930008150304</v>
      </c>
      <c r="L34" s="96">
        <f t="shared" si="11"/>
        <v>0.61587930008150304</v>
      </c>
      <c r="M34" s="96">
        <f t="shared" si="11"/>
        <v>0.61587930008150304</v>
      </c>
      <c r="N34" s="96">
        <f t="shared" si="11"/>
        <v>0.68431033342389225</v>
      </c>
      <c r="O34" s="96">
        <f t="shared" si="11"/>
        <v>0.68431033342389225</v>
      </c>
      <c r="P34" s="96">
        <f t="shared" si="11"/>
        <v>0.68431033342389225</v>
      </c>
      <c r="Q34" s="96">
        <f t="shared" si="11"/>
        <v>0.68431033342389225</v>
      </c>
      <c r="R34" s="96">
        <f t="shared" si="11"/>
        <v>0.68431033342389225</v>
      </c>
      <c r="S34" s="96">
        <f t="shared" si="11"/>
        <v>0.68431033342389225</v>
      </c>
      <c r="T34" s="96">
        <f t="shared" si="11"/>
        <v>0.68431033342389225</v>
      </c>
      <c r="U34" s="96">
        <f t="shared" si="11"/>
        <v>0.68431033342389225</v>
      </c>
      <c r="V34" s="96">
        <f t="shared" si="11"/>
        <v>0.68431033342389225</v>
      </c>
      <c r="W34" s="96">
        <f t="shared" si="11"/>
        <v>0.68431033342389225</v>
      </c>
      <c r="X34" s="96">
        <f t="shared" si="11"/>
        <v>0.68431033342389225</v>
      </c>
      <c r="Y34" s="96">
        <f t="shared" si="11"/>
        <v>0.68431033342389225</v>
      </c>
      <c r="Z34" s="96">
        <f t="shared" si="11"/>
        <v>0.68431033342389225</v>
      </c>
      <c r="AA34" s="96">
        <f t="shared" si="11"/>
        <v>0.68431033342389225</v>
      </c>
      <c r="AB34" s="96">
        <f t="shared" si="11"/>
        <v>0.68431033342389225</v>
      </c>
      <c r="AC34" s="96">
        <f t="shared" si="11"/>
        <v>0.47901723339672458</v>
      </c>
      <c r="AD34" s="93"/>
      <c r="AE34" s="93"/>
      <c r="AF34" s="93"/>
    </row>
    <row r="35" spans="1:37" ht="12" x14ac:dyDescent="0.2">
      <c r="A35" s="2" t="s">
        <v>124</v>
      </c>
      <c r="B35" s="98">
        <f t="shared" ref="B35:AC35" si="12">ROUND($B$2*B$32,2)</f>
        <v>3.5</v>
      </c>
      <c r="C35" s="98">
        <f t="shared" si="12"/>
        <v>3.5</v>
      </c>
      <c r="D35" s="98">
        <f t="shared" si="12"/>
        <v>3.5</v>
      </c>
      <c r="E35" s="98">
        <f t="shared" si="12"/>
        <v>3.5</v>
      </c>
      <c r="F35" s="98">
        <f t="shared" si="12"/>
        <v>3.5</v>
      </c>
      <c r="G35" s="98">
        <f t="shared" si="12"/>
        <v>3.5</v>
      </c>
      <c r="H35" s="98">
        <f t="shared" si="12"/>
        <v>4</v>
      </c>
      <c r="I35" s="98">
        <f t="shared" si="12"/>
        <v>4</v>
      </c>
      <c r="J35" s="98">
        <f t="shared" si="12"/>
        <v>4</v>
      </c>
      <c r="K35" s="98">
        <f t="shared" si="12"/>
        <v>4.5</v>
      </c>
      <c r="L35" s="98">
        <f t="shared" si="12"/>
        <v>4.5</v>
      </c>
      <c r="M35" s="98">
        <f t="shared" si="12"/>
        <v>4.5</v>
      </c>
      <c r="N35" s="98">
        <f t="shared" si="12"/>
        <v>5</v>
      </c>
      <c r="O35" s="98">
        <f t="shared" si="12"/>
        <v>5</v>
      </c>
      <c r="P35" s="98">
        <f t="shared" si="12"/>
        <v>5</v>
      </c>
      <c r="Q35" s="98">
        <f t="shared" si="12"/>
        <v>5</v>
      </c>
      <c r="R35" s="98">
        <f t="shared" si="12"/>
        <v>5</v>
      </c>
      <c r="S35" s="98">
        <f t="shared" si="12"/>
        <v>5</v>
      </c>
      <c r="T35" s="98">
        <f t="shared" si="12"/>
        <v>5</v>
      </c>
      <c r="U35" s="98">
        <f t="shared" si="12"/>
        <v>5</v>
      </c>
      <c r="V35" s="98">
        <f t="shared" si="12"/>
        <v>5</v>
      </c>
      <c r="W35" s="98">
        <f t="shared" si="12"/>
        <v>5</v>
      </c>
      <c r="X35" s="98">
        <f t="shared" si="12"/>
        <v>5</v>
      </c>
      <c r="Y35" s="98">
        <f t="shared" si="12"/>
        <v>5</v>
      </c>
      <c r="Z35" s="98">
        <f t="shared" si="12"/>
        <v>5</v>
      </c>
      <c r="AA35" s="98">
        <f t="shared" si="12"/>
        <v>5</v>
      </c>
      <c r="AB35" s="99">
        <f t="shared" si="12"/>
        <v>5</v>
      </c>
      <c r="AC35" s="26">
        <f t="shared" si="12"/>
        <v>3.5</v>
      </c>
    </row>
    <row r="36" spans="1:37" s="68" customFormat="1" ht="12" x14ac:dyDescent="0.2">
      <c r="A36" s="2" t="s">
        <v>125</v>
      </c>
      <c r="B36" s="221">
        <f t="shared" ref="B36:AC36" si="13">ROUND(MIN(4,$B$2*B$33),2)</f>
        <v>2.8</v>
      </c>
      <c r="C36" s="221">
        <f t="shared" si="13"/>
        <v>2.8</v>
      </c>
      <c r="D36" s="221">
        <f t="shared" si="13"/>
        <v>2.8</v>
      </c>
      <c r="E36" s="221">
        <f t="shared" si="13"/>
        <v>2.8</v>
      </c>
      <c r="F36" s="221">
        <f t="shared" si="13"/>
        <v>2.8</v>
      </c>
      <c r="G36" s="221">
        <f t="shared" si="13"/>
        <v>2.8</v>
      </c>
      <c r="H36" s="221">
        <f t="shared" si="13"/>
        <v>3.2</v>
      </c>
      <c r="I36" s="221">
        <f t="shared" si="13"/>
        <v>3.2</v>
      </c>
      <c r="J36" s="221">
        <f t="shared" si="13"/>
        <v>3.2</v>
      </c>
      <c r="K36" s="221">
        <f t="shared" si="13"/>
        <v>3.6</v>
      </c>
      <c r="L36" s="221">
        <f t="shared" si="13"/>
        <v>3.6</v>
      </c>
      <c r="M36" s="221">
        <f t="shared" si="13"/>
        <v>3.6</v>
      </c>
      <c r="N36" s="221">
        <f t="shared" si="13"/>
        <v>4</v>
      </c>
      <c r="O36" s="221">
        <f t="shared" si="13"/>
        <v>4</v>
      </c>
      <c r="P36" s="221">
        <f t="shared" si="13"/>
        <v>4</v>
      </c>
      <c r="Q36" s="221">
        <f t="shared" si="13"/>
        <v>4</v>
      </c>
      <c r="R36" s="221">
        <f t="shared" si="13"/>
        <v>4</v>
      </c>
      <c r="S36" s="221">
        <f t="shared" si="13"/>
        <v>4</v>
      </c>
      <c r="T36" s="221">
        <f t="shared" si="13"/>
        <v>4</v>
      </c>
      <c r="U36" s="221">
        <f t="shared" si="13"/>
        <v>4</v>
      </c>
      <c r="V36" s="221">
        <f t="shared" si="13"/>
        <v>4</v>
      </c>
      <c r="W36" s="221">
        <f t="shared" si="13"/>
        <v>4</v>
      </c>
      <c r="X36" s="221">
        <f t="shared" si="13"/>
        <v>4</v>
      </c>
      <c r="Y36" s="221">
        <f t="shared" si="13"/>
        <v>4</v>
      </c>
      <c r="Z36" s="221">
        <f t="shared" si="13"/>
        <v>4</v>
      </c>
      <c r="AA36" s="221">
        <f t="shared" si="13"/>
        <v>4</v>
      </c>
      <c r="AB36" s="221">
        <f t="shared" si="13"/>
        <v>4</v>
      </c>
      <c r="AC36" s="221">
        <f t="shared" si="13"/>
        <v>2.8</v>
      </c>
    </row>
    <row r="37" spans="1:37" s="68" customFormat="1" ht="12" x14ac:dyDescent="0.2">
      <c r="A37" s="389" t="s">
        <v>126</v>
      </c>
      <c r="B37" s="399">
        <f>B34*$B$2</f>
        <v>2.395086166983623</v>
      </c>
      <c r="C37" s="399">
        <f t="shared" ref="C37:AC37" si="14">C34*$B$2</f>
        <v>2.395086166983623</v>
      </c>
      <c r="D37" s="399">
        <f t="shared" si="14"/>
        <v>2.395086166983623</v>
      </c>
      <c r="E37" s="399">
        <f t="shared" si="14"/>
        <v>2.395086166983623</v>
      </c>
      <c r="F37" s="399">
        <f t="shared" si="14"/>
        <v>2.395086166983623</v>
      </c>
      <c r="G37" s="399">
        <f t="shared" si="14"/>
        <v>2.395086166983623</v>
      </c>
      <c r="H37" s="399">
        <f t="shared" si="14"/>
        <v>2.737241333695569</v>
      </c>
      <c r="I37" s="399">
        <f t="shared" si="14"/>
        <v>2.737241333695569</v>
      </c>
      <c r="J37" s="399">
        <f t="shared" si="14"/>
        <v>2.737241333695569</v>
      </c>
      <c r="K37" s="399">
        <f t="shared" si="14"/>
        <v>3.0793965004075154</v>
      </c>
      <c r="L37" s="399">
        <f t="shared" si="14"/>
        <v>3.0793965004075154</v>
      </c>
      <c r="M37" s="399">
        <f t="shared" si="14"/>
        <v>3.0793965004075154</v>
      </c>
      <c r="N37" s="399">
        <f t="shared" si="14"/>
        <v>3.421551667119461</v>
      </c>
      <c r="O37" s="399">
        <f t="shared" si="14"/>
        <v>3.421551667119461</v>
      </c>
      <c r="P37" s="399">
        <f t="shared" si="14"/>
        <v>3.421551667119461</v>
      </c>
      <c r="Q37" s="399">
        <f t="shared" si="14"/>
        <v>3.421551667119461</v>
      </c>
      <c r="R37" s="399">
        <f t="shared" si="14"/>
        <v>3.421551667119461</v>
      </c>
      <c r="S37" s="399">
        <f t="shared" si="14"/>
        <v>3.421551667119461</v>
      </c>
      <c r="T37" s="399">
        <f t="shared" si="14"/>
        <v>3.421551667119461</v>
      </c>
      <c r="U37" s="399">
        <f t="shared" si="14"/>
        <v>3.421551667119461</v>
      </c>
      <c r="V37" s="399">
        <f t="shared" si="14"/>
        <v>3.421551667119461</v>
      </c>
      <c r="W37" s="399">
        <f t="shared" si="14"/>
        <v>3.421551667119461</v>
      </c>
      <c r="X37" s="399">
        <f t="shared" si="14"/>
        <v>3.421551667119461</v>
      </c>
      <c r="Y37" s="399">
        <f t="shared" si="14"/>
        <v>3.421551667119461</v>
      </c>
      <c r="Z37" s="399">
        <f t="shared" si="14"/>
        <v>3.421551667119461</v>
      </c>
      <c r="AA37" s="399">
        <f t="shared" si="14"/>
        <v>3.421551667119461</v>
      </c>
      <c r="AB37" s="399">
        <f t="shared" si="14"/>
        <v>3.421551667119461</v>
      </c>
      <c r="AC37" s="399">
        <f t="shared" si="14"/>
        <v>2.395086166983623</v>
      </c>
    </row>
    <row r="38" spans="1:37" s="68" customFormat="1" ht="12" x14ac:dyDescent="0.2">
      <c r="A38" s="226" t="s">
        <v>127</v>
      </c>
      <c r="B38" s="99"/>
      <c r="C38" s="228"/>
      <c r="D38" s="228"/>
      <c r="E38" s="228"/>
      <c r="F38" s="228"/>
      <c r="G38" s="228"/>
      <c r="H38" s="228"/>
      <c r="I38" s="228"/>
      <c r="J38" s="228"/>
      <c r="K38" s="228"/>
      <c r="L38" s="386"/>
      <c r="M38" s="228"/>
      <c r="N38" s="228"/>
      <c r="O38" s="228"/>
      <c r="P38" s="228"/>
      <c r="Q38" s="228"/>
      <c r="R38" s="228"/>
      <c r="S38" s="228"/>
      <c r="T38" s="228"/>
      <c r="U38" s="228"/>
      <c r="V38" s="228"/>
      <c r="W38" s="228"/>
      <c r="X38" s="228"/>
      <c r="Y38" s="228"/>
      <c r="Z38" s="228"/>
      <c r="AA38" s="228"/>
      <c r="AB38" s="228"/>
      <c r="AC38" s="229"/>
    </row>
    <row r="39" spans="1:37" s="69" customFormat="1" ht="12" x14ac:dyDescent="0.2">
      <c r="A39" s="100" t="s">
        <v>128</v>
      </c>
      <c r="B39" s="400">
        <f>B$36*$B123</f>
        <v>2.1952616925476844</v>
      </c>
      <c r="C39" s="400">
        <f>C$36*$B123</f>
        <v>2.1952616925476844</v>
      </c>
      <c r="D39" s="400">
        <f t="shared" ref="D39:AC39" si="15">D$36*$B123</f>
        <v>2.1952616925476844</v>
      </c>
      <c r="E39" s="400">
        <f t="shared" si="15"/>
        <v>2.1952616925476844</v>
      </c>
      <c r="F39" s="400">
        <f t="shared" si="15"/>
        <v>2.1952616925476844</v>
      </c>
      <c r="G39" s="400">
        <f t="shared" si="15"/>
        <v>2.1952616925476844</v>
      </c>
      <c r="H39" s="400">
        <f t="shared" si="15"/>
        <v>2.5088705057687828</v>
      </c>
      <c r="I39" s="400">
        <f t="shared" si="15"/>
        <v>2.5088705057687828</v>
      </c>
      <c r="J39" s="400">
        <f t="shared" si="15"/>
        <v>2.5088705057687828</v>
      </c>
      <c r="K39" s="400">
        <f t="shared" si="15"/>
        <v>2.8224793189898802</v>
      </c>
      <c r="L39" s="400">
        <f t="shared" si="15"/>
        <v>2.8224793189898802</v>
      </c>
      <c r="M39" s="400">
        <f t="shared" si="15"/>
        <v>2.8224793189898802</v>
      </c>
      <c r="N39" s="400">
        <f t="shared" si="15"/>
        <v>3.1360881322109782</v>
      </c>
      <c r="O39" s="400">
        <f t="shared" si="15"/>
        <v>3.1360881322109782</v>
      </c>
      <c r="P39" s="400">
        <f t="shared" si="15"/>
        <v>3.1360881322109782</v>
      </c>
      <c r="Q39" s="400">
        <f t="shared" si="15"/>
        <v>3.1360881322109782</v>
      </c>
      <c r="R39" s="400">
        <f t="shared" si="15"/>
        <v>3.1360881322109782</v>
      </c>
      <c r="S39" s="400">
        <f t="shared" si="15"/>
        <v>3.1360881322109782</v>
      </c>
      <c r="T39" s="400">
        <f t="shared" si="15"/>
        <v>3.1360881322109782</v>
      </c>
      <c r="U39" s="400">
        <f t="shared" si="15"/>
        <v>3.1360881322109782</v>
      </c>
      <c r="V39" s="400">
        <f t="shared" si="15"/>
        <v>3.1360881322109782</v>
      </c>
      <c r="W39" s="400">
        <f t="shared" si="15"/>
        <v>3.1360881322109782</v>
      </c>
      <c r="X39" s="400">
        <f t="shared" si="15"/>
        <v>3.1360881322109782</v>
      </c>
      <c r="Y39" s="400">
        <f t="shared" si="15"/>
        <v>3.1360881322109782</v>
      </c>
      <c r="Z39" s="400">
        <f t="shared" si="15"/>
        <v>3.1360881322109782</v>
      </c>
      <c r="AA39" s="400">
        <f t="shared" si="15"/>
        <v>3.1360881322109782</v>
      </c>
      <c r="AB39" s="400">
        <f t="shared" si="15"/>
        <v>3.1360881322109782</v>
      </c>
      <c r="AC39" s="400">
        <f t="shared" si="15"/>
        <v>2.1952616925476844</v>
      </c>
    </row>
    <row r="40" spans="1:37" s="69" customFormat="1" ht="12" x14ac:dyDescent="0.2">
      <c r="A40" s="100" t="s">
        <v>129</v>
      </c>
      <c r="B40" s="400">
        <f t="shared" ref="B40:AC40" si="16">B$36*$B124</f>
        <v>1.1171870308503709</v>
      </c>
      <c r="C40" s="400">
        <f t="shared" si="16"/>
        <v>1.1171870308503709</v>
      </c>
      <c r="D40" s="400">
        <f t="shared" si="16"/>
        <v>1.1171870308503709</v>
      </c>
      <c r="E40" s="400">
        <f t="shared" si="16"/>
        <v>1.1171870308503709</v>
      </c>
      <c r="F40" s="400">
        <f t="shared" si="16"/>
        <v>1.1171870308503709</v>
      </c>
      <c r="G40" s="400">
        <f t="shared" si="16"/>
        <v>1.1171870308503709</v>
      </c>
      <c r="H40" s="400">
        <f t="shared" si="16"/>
        <v>1.2767851781147097</v>
      </c>
      <c r="I40" s="400">
        <f t="shared" si="16"/>
        <v>1.2767851781147097</v>
      </c>
      <c r="J40" s="400">
        <f t="shared" si="16"/>
        <v>1.2767851781147097</v>
      </c>
      <c r="K40" s="400">
        <f t="shared" si="16"/>
        <v>1.4363833253790483</v>
      </c>
      <c r="L40" s="400">
        <f t="shared" si="16"/>
        <v>1.4363833253790483</v>
      </c>
      <c r="M40" s="400">
        <f t="shared" si="16"/>
        <v>1.4363833253790483</v>
      </c>
      <c r="N40" s="400">
        <f t="shared" si="16"/>
        <v>1.595981472643387</v>
      </c>
      <c r="O40" s="400">
        <f t="shared" si="16"/>
        <v>1.595981472643387</v>
      </c>
      <c r="P40" s="400">
        <f t="shared" si="16"/>
        <v>1.595981472643387</v>
      </c>
      <c r="Q40" s="400">
        <f t="shared" si="16"/>
        <v>1.595981472643387</v>
      </c>
      <c r="R40" s="400">
        <f t="shared" si="16"/>
        <v>1.595981472643387</v>
      </c>
      <c r="S40" s="400">
        <f t="shared" si="16"/>
        <v>1.595981472643387</v>
      </c>
      <c r="T40" s="400">
        <f t="shared" si="16"/>
        <v>1.595981472643387</v>
      </c>
      <c r="U40" s="400">
        <f t="shared" si="16"/>
        <v>1.595981472643387</v>
      </c>
      <c r="V40" s="400">
        <f t="shared" si="16"/>
        <v>1.595981472643387</v>
      </c>
      <c r="W40" s="400">
        <f t="shared" si="16"/>
        <v>1.595981472643387</v>
      </c>
      <c r="X40" s="400">
        <f t="shared" si="16"/>
        <v>1.595981472643387</v>
      </c>
      <c r="Y40" s="400">
        <f t="shared" si="16"/>
        <v>1.595981472643387</v>
      </c>
      <c r="Z40" s="400">
        <f t="shared" si="16"/>
        <v>1.595981472643387</v>
      </c>
      <c r="AA40" s="400">
        <f t="shared" si="16"/>
        <v>1.595981472643387</v>
      </c>
      <c r="AB40" s="400">
        <f t="shared" si="16"/>
        <v>1.595981472643387</v>
      </c>
      <c r="AC40" s="400">
        <f t="shared" si="16"/>
        <v>1.1171870308503709</v>
      </c>
    </row>
    <row r="41" spans="1:37" s="69" customFormat="1" ht="12" x14ac:dyDescent="0.2">
      <c r="A41" s="100" t="s">
        <v>130</v>
      </c>
      <c r="B41" s="400">
        <f t="shared" ref="B41:AC41" si="17">B$36*$B125</f>
        <v>2.1899968084031842</v>
      </c>
      <c r="C41" s="400">
        <f t="shared" si="17"/>
        <v>2.1899968084031842</v>
      </c>
      <c r="D41" s="400">
        <f t="shared" si="17"/>
        <v>2.1899968084031842</v>
      </c>
      <c r="E41" s="400">
        <f t="shared" si="17"/>
        <v>2.1899968084031842</v>
      </c>
      <c r="F41" s="400">
        <f t="shared" si="17"/>
        <v>2.1899968084031842</v>
      </c>
      <c r="G41" s="400">
        <f t="shared" si="17"/>
        <v>2.1899968084031842</v>
      </c>
      <c r="H41" s="400">
        <f t="shared" si="17"/>
        <v>2.5028534953179253</v>
      </c>
      <c r="I41" s="400">
        <f t="shared" si="17"/>
        <v>2.5028534953179253</v>
      </c>
      <c r="J41" s="400">
        <f t="shared" si="17"/>
        <v>2.5028534953179253</v>
      </c>
      <c r="K41" s="400">
        <f t="shared" si="17"/>
        <v>2.8157101822326656</v>
      </c>
      <c r="L41" s="400">
        <f t="shared" si="17"/>
        <v>2.8157101822326656</v>
      </c>
      <c r="M41" s="400">
        <f t="shared" si="17"/>
        <v>2.8157101822326656</v>
      </c>
      <c r="N41" s="400">
        <f t="shared" si="17"/>
        <v>3.1285668691474062</v>
      </c>
      <c r="O41" s="400">
        <f t="shared" si="17"/>
        <v>3.1285668691474062</v>
      </c>
      <c r="P41" s="400">
        <f t="shared" si="17"/>
        <v>3.1285668691474062</v>
      </c>
      <c r="Q41" s="400">
        <f t="shared" si="17"/>
        <v>3.1285668691474062</v>
      </c>
      <c r="R41" s="400">
        <f t="shared" si="17"/>
        <v>3.1285668691474062</v>
      </c>
      <c r="S41" s="400">
        <f t="shared" si="17"/>
        <v>3.1285668691474062</v>
      </c>
      <c r="T41" s="400">
        <f t="shared" si="17"/>
        <v>3.1285668691474062</v>
      </c>
      <c r="U41" s="400">
        <f t="shared" si="17"/>
        <v>3.1285668691474062</v>
      </c>
      <c r="V41" s="400">
        <f t="shared" si="17"/>
        <v>3.1285668691474062</v>
      </c>
      <c r="W41" s="400">
        <f t="shared" si="17"/>
        <v>3.1285668691474062</v>
      </c>
      <c r="X41" s="400">
        <f t="shared" si="17"/>
        <v>3.1285668691474062</v>
      </c>
      <c r="Y41" s="400">
        <f t="shared" si="17"/>
        <v>3.1285668691474062</v>
      </c>
      <c r="Z41" s="400">
        <f t="shared" si="17"/>
        <v>3.1285668691474062</v>
      </c>
      <c r="AA41" s="400">
        <f t="shared" si="17"/>
        <v>3.1285668691474062</v>
      </c>
      <c r="AB41" s="400">
        <f t="shared" si="17"/>
        <v>3.1285668691474062</v>
      </c>
      <c r="AC41" s="400">
        <f t="shared" si="17"/>
        <v>2.1899968084031842</v>
      </c>
    </row>
    <row r="42" spans="1:37" s="69" customFormat="1" ht="12" x14ac:dyDescent="0.2">
      <c r="A42" s="100" t="s">
        <v>131</v>
      </c>
      <c r="B42" s="400">
        <f t="shared" ref="B42:AC42" si="18">B$36*$B126</f>
        <v>2.1794670401141829</v>
      </c>
      <c r="C42" s="400">
        <f t="shared" si="18"/>
        <v>2.1794670401141829</v>
      </c>
      <c r="D42" s="400">
        <f t="shared" si="18"/>
        <v>2.1794670401141829</v>
      </c>
      <c r="E42" s="400">
        <f t="shared" si="18"/>
        <v>2.1794670401141829</v>
      </c>
      <c r="F42" s="400">
        <f t="shared" si="18"/>
        <v>2.1794670401141829</v>
      </c>
      <c r="G42" s="400">
        <f t="shared" si="18"/>
        <v>2.1794670401141829</v>
      </c>
      <c r="H42" s="400">
        <f t="shared" si="18"/>
        <v>2.4908194744162095</v>
      </c>
      <c r="I42" s="400">
        <f t="shared" si="18"/>
        <v>2.4908194744162095</v>
      </c>
      <c r="J42" s="400">
        <f t="shared" si="18"/>
        <v>2.4908194744162095</v>
      </c>
      <c r="K42" s="400">
        <f t="shared" si="18"/>
        <v>2.8021719087182353</v>
      </c>
      <c r="L42" s="400">
        <f t="shared" si="18"/>
        <v>2.8021719087182353</v>
      </c>
      <c r="M42" s="400">
        <f t="shared" si="18"/>
        <v>2.8021719087182353</v>
      </c>
      <c r="N42" s="400">
        <f t="shared" si="18"/>
        <v>3.1135243430202615</v>
      </c>
      <c r="O42" s="400">
        <f t="shared" si="18"/>
        <v>3.1135243430202615</v>
      </c>
      <c r="P42" s="400">
        <f t="shared" si="18"/>
        <v>3.1135243430202615</v>
      </c>
      <c r="Q42" s="400">
        <f t="shared" si="18"/>
        <v>3.1135243430202615</v>
      </c>
      <c r="R42" s="400">
        <f t="shared" si="18"/>
        <v>3.1135243430202615</v>
      </c>
      <c r="S42" s="400">
        <f t="shared" si="18"/>
        <v>3.1135243430202615</v>
      </c>
      <c r="T42" s="400">
        <f t="shared" si="18"/>
        <v>3.1135243430202615</v>
      </c>
      <c r="U42" s="400">
        <f t="shared" si="18"/>
        <v>3.1135243430202615</v>
      </c>
      <c r="V42" s="400">
        <f t="shared" si="18"/>
        <v>3.1135243430202615</v>
      </c>
      <c r="W42" s="400">
        <f t="shared" si="18"/>
        <v>3.1135243430202615</v>
      </c>
      <c r="X42" s="400">
        <f t="shared" si="18"/>
        <v>3.1135243430202615</v>
      </c>
      <c r="Y42" s="400">
        <f t="shared" si="18"/>
        <v>3.1135243430202615</v>
      </c>
      <c r="Z42" s="400">
        <f t="shared" si="18"/>
        <v>3.1135243430202615</v>
      </c>
      <c r="AA42" s="400">
        <f t="shared" si="18"/>
        <v>3.1135243430202615</v>
      </c>
      <c r="AB42" s="400">
        <f t="shared" si="18"/>
        <v>3.1135243430202615</v>
      </c>
      <c r="AC42" s="400">
        <f t="shared" si="18"/>
        <v>2.1794670401141829</v>
      </c>
    </row>
    <row r="43" spans="1:37" s="69" customFormat="1" ht="12" x14ac:dyDescent="0.2">
      <c r="A43" s="100" t="s">
        <v>132</v>
      </c>
      <c r="B43" s="400">
        <f t="shared" ref="B43:AC43" si="19">B$36*$B127</f>
        <v>1.1171870308503709</v>
      </c>
      <c r="C43" s="400">
        <f t="shared" si="19"/>
        <v>1.1171870308503709</v>
      </c>
      <c r="D43" s="400">
        <f t="shared" si="19"/>
        <v>1.1171870308503709</v>
      </c>
      <c r="E43" s="400">
        <f t="shared" si="19"/>
        <v>1.1171870308503709</v>
      </c>
      <c r="F43" s="400">
        <f t="shared" si="19"/>
        <v>1.1171870308503709</v>
      </c>
      <c r="G43" s="400">
        <f t="shared" si="19"/>
        <v>1.1171870308503709</v>
      </c>
      <c r="H43" s="400">
        <f t="shared" si="19"/>
        <v>1.2767851781147097</v>
      </c>
      <c r="I43" s="400">
        <f t="shared" si="19"/>
        <v>1.2767851781147097</v>
      </c>
      <c r="J43" s="400">
        <f t="shared" si="19"/>
        <v>1.2767851781147097</v>
      </c>
      <c r="K43" s="400">
        <f t="shared" si="19"/>
        <v>1.4363833253790483</v>
      </c>
      <c r="L43" s="400">
        <f t="shared" si="19"/>
        <v>1.4363833253790483</v>
      </c>
      <c r="M43" s="400">
        <f t="shared" si="19"/>
        <v>1.4363833253790483</v>
      </c>
      <c r="N43" s="400">
        <f t="shared" si="19"/>
        <v>1.595981472643387</v>
      </c>
      <c r="O43" s="400">
        <f t="shared" si="19"/>
        <v>1.595981472643387</v>
      </c>
      <c r="P43" s="400">
        <f t="shared" si="19"/>
        <v>1.595981472643387</v>
      </c>
      <c r="Q43" s="400">
        <f t="shared" si="19"/>
        <v>1.595981472643387</v>
      </c>
      <c r="R43" s="400">
        <f t="shared" si="19"/>
        <v>1.595981472643387</v>
      </c>
      <c r="S43" s="400">
        <f t="shared" si="19"/>
        <v>1.595981472643387</v>
      </c>
      <c r="T43" s="400">
        <f t="shared" si="19"/>
        <v>1.595981472643387</v>
      </c>
      <c r="U43" s="400">
        <f t="shared" si="19"/>
        <v>1.595981472643387</v>
      </c>
      <c r="V43" s="400">
        <f t="shared" si="19"/>
        <v>1.595981472643387</v>
      </c>
      <c r="W43" s="400">
        <f t="shared" si="19"/>
        <v>1.595981472643387</v>
      </c>
      <c r="X43" s="400">
        <f t="shared" si="19"/>
        <v>1.595981472643387</v>
      </c>
      <c r="Y43" s="400">
        <f t="shared" si="19"/>
        <v>1.595981472643387</v>
      </c>
      <c r="Z43" s="400">
        <f t="shared" si="19"/>
        <v>1.595981472643387</v>
      </c>
      <c r="AA43" s="400">
        <f t="shared" si="19"/>
        <v>1.595981472643387</v>
      </c>
      <c r="AB43" s="400">
        <f t="shared" si="19"/>
        <v>1.595981472643387</v>
      </c>
      <c r="AC43" s="400">
        <f t="shared" si="19"/>
        <v>1.1171870308503709</v>
      </c>
    </row>
    <row r="44" spans="1:37" s="69" customFormat="1" ht="12" x14ac:dyDescent="0.2">
      <c r="A44" s="100" t="s">
        <v>133</v>
      </c>
      <c r="B44" s="400">
        <f t="shared" ref="B44:AC44" si="20">B$36*$B128</f>
        <v>2.1952616925476844</v>
      </c>
      <c r="C44" s="400">
        <f t="shared" si="20"/>
        <v>2.1952616925476844</v>
      </c>
      <c r="D44" s="400">
        <f t="shared" si="20"/>
        <v>2.1952616925476844</v>
      </c>
      <c r="E44" s="400">
        <f t="shared" si="20"/>
        <v>2.1952616925476844</v>
      </c>
      <c r="F44" s="400">
        <f t="shared" si="20"/>
        <v>2.1952616925476844</v>
      </c>
      <c r="G44" s="400">
        <f t="shared" si="20"/>
        <v>2.1952616925476844</v>
      </c>
      <c r="H44" s="400">
        <f t="shared" si="20"/>
        <v>2.5088705057687828</v>
      </c>
      <c r="I44" s="400">
        <f t="shared" si="20"/>
        <v>2.5088705057687828</v>
      </c>
      <c r="J44" s="400">
        <f t="shared" si="20"/>
        <v>2.5088705057687828</v>
      </c>
      <c r="K44" s="400">
        <f t="shared" si="20"/>
        <v>2.8224793189898802</v>
      </c>
      <c r="L44" s="400">
        <f t="shared" si="20"/>
        <v>2.8224793189898802</v>
      </c>
      <c r="M44" s="400">
        <f t="shared" si="20"/>
        <v>2.8224793189898802</v>
      </c>
      <c r="N44" s="400">
        <f t="shared" si="20"/>
        <v>3.1360881322109782</v>
      </c>
      <c r="O44" s="400">
        <f t="shared" si="20"/>
        <v>3.1360881322109782</v>
      </c>
      <c r="P44" s="400">
        <f t="shared" si="20"/>
        <v>3.1360881322109782</v>
      </c>
      <c r="Q44" s="400">
        <f t="shared" si="20"/>
        <v>3.1360881322109782</v>
      </c>
      <c r="R44" s="400">
        <f t="shared" si="20"/>
        <v>3.1360881322109782</v>
      </c>
      <c r="S44" s="400">
        <f t="shared" si="20"/>
        <v>3.1360881322109782</v>
      </c>
      <c r="T44" s="400">
        <f t="shared" si="20"/>
        <v>3.1360881322109782</v>
      </c>
      <c r="U44" s="400">
        <f t="shared" si="20"/>
        <v>3.1360881322109782</v>
      </c>
      <c r="V44" s="400">
        <f t="shared" si="20"/>
        <v>3.1360881322109782</v>
      </c>
      <c r="W44" s="400">
        <f t="shared" si="20"/>
        <v>3.1360881322109782</v>
      </c>
      <c r="X44" s="400">
        <f t="shared" si="20"/>
        <v>3.1360881322109782</v>
      </c>
      <c r="Y44" s="400">
        <f t="shared" si="20"/>
        <v>3.1360881322109782</v>
      </c>
      <c r="Z44" s="400">
        <f t="shared" si="20"/>
        <v>3.1360881322109782</v>
      </c>
      <c r="AA44" s="400">
        <f t="shared" si="20"/>
        <v>3.1360881322109782</v>
      </c>
      <c r="AB44" s="400">
        <f t="shared" si="20"/>
        <v>3.1360881322109782</v>
      </c>
      <c r="AC44" s="400">
        <f t="shared" si="20"/>
        <v>2.1952616925476844</v>
      </c>
    </row>
    <row r="45" spans="1:37" s="69" customFormat="1" ht="12" x14ac:dyDescent="0.2">
      <c r="A45" s="100" t="s">
        <v>134</v>
      </c>
      <c r="B45" s="400">
        <f t="shared" ref="B45:AC45" si="21">IF(B13="Deploy", B$36,B$36*$B129)</f>
        <v>1.1171870308503709</v>
      </c>
      <c r="C45" s="400">
        <f t="shared" si="21"/>
        <v>1.1171870308503709</v>
      </c>
      <c r="D45" s="400">
        <f t="shared" si="21"/>
        <v>1.1171870308503709</v>
      </c>
      <c r="E45" s="400">
        <f t="shared" si="21"/>
        <v>1.1171870308503709</v>
      </c>
      <c r="F45" s="400">
        <f t="shared" si="21"/>
        <v>1.1171870308503709</v>
      </c>
      <c r="G45" s="400">
        <f t="shared" si="21"/>
        <v>1.1171870308503709</v>
      </c>
      <c r="H45" s="400">
        <f t="shared" si="21"/>
        <v>1.2767851781147097</v>
      </c>
      <c r="I45" s="400">
        <f t="shared" si="21"/>
        <v>1.2767851781147097</v>
      </c>
      <c r="J45" s="400">
        <f t="shared" si="21"/>
        <v>1.2767851781147097</v>
      </c>
      <c r="K45" s="400">
        <f t="shared" si="21"/>
        <v>1.4363833253790483</v>
      </c>
      <c r="L45" s="400">
        <f t="shared" si="21"/>
        <v>1.4363833253790483</v>
      </c>
      <c r="M45" s="400">
        <f t="shared" si="21"/>
        <v>1.4363833253790483</v>
      </c>
      <c r="N45" s="400">
        <f t="shared" si="21"/>
        <v>1.595981472643387</v>
      </c>
      <c r="O45" s="400">
        <f t="shared" si="21"/>
        <v>1.595981472643387</v>
      </c>
      <c r="P45" s="400">
        <f t="shared" si="21"/>
        <v>1.595981472643387</v>
      </c>
      <c r="Q45" s="400">
        <f t="shared" si="21"/>
        <v>1.595981472643387</v>
      </c>
      <c r="R45" s="400">
        <f t="shared" si="21"/>
        <v>4</v>
      </c>
      <c r="S45" s="400">
        <f t="shared" si="21"/>
        <v>4</v>
      </c>
      <c r="T45" s="400">
        <f t="shared" si="21"/>
        <v>4</v>
      </c>
      <c r="U45" s="400">
        <f t="shared" si="21"/>
        <v>4</v>
      </c>
      <c r="V45" s="400">
        <f t="shared" si="21"/>
        <v>4</v>
      </c>
      <c r="W45" s="400">
        <f t="shared" si="21"/>
        <v>4</v>
      </c>
      <c r="X45" s="400">
        <f t="shared" si="21"/>
        <v>1.595981472643387</v>
      </c>
      <c r="Y45" s="400">
        <f t="shared" si="21"/>
        <v>1.595981472643387</v>
      </c>
      <c r="Z45" s="400">
        <f t="shared" si="21"/>
        <v>1.595981472643387</v>
      </c>
      <c r="AA45" s="400">
        <f t="shared" si="21"/>
        <v>1.595981472643387</v>
      </c>
      <c r="AB45" s="400">
        <f t="shared" si="21"/>
        <v>1.595981472643387</v>
      </c>
      <c r="AC45" s="400">
        <f t="shared" si="21"/>
        <v>1.1171870308503709</v>
      </c>
    </row>
    <row r="46" spans="1:37" s="69" customFormat="1" ht="12.75" x14ac:dyDescent="0.2">
      <c r="A46" s="332" t="s">
        <v>135</v>
      </c>
      <c r="B46" s="400">
        <f t="shared" ref="B46:AC46" si="22">B$36*$B130</f>
        <v>2.8</v>
      </c>
      <c r="C46" s="400">
        <f t="shared" si="22"/>
        <v>2.8</v>
      </c>
      <c r="D46" s="400">
        <f t="shared" si="22"/>
        <v>2.8</v>
      </c>
      <c r="E46" s="400">
        <f t="shared" si="22"/>
        <v>2.8</v>
      </c>
      <c r="F46" s="400">
        <f t="shared" si="22"/>
        <v>2.8</v>
      </c>
      <c r="G46" s="400">
        <f t="shared" si="22"/>
        <v>2.8</v>
      </c>
      <c r="H46" s="400">
        <f t="shared" si="22"/>
        <v>3.2</v>
      </c>
      <c r="I46" s="400">
        <f t="shared" si="22"/>
        <v>3.2</v>
      </c>
      <c r="J46" s="400">
        <f t="shared" si="22"/>
        <v>3.2</v>
      </c>
      <c r="K46" s="400">
        <f t="shared" si="22"/>
        <v>3.6</v>
      </c>
      <c r="L46" s="400">
        <f t="shared" si="22"/>
        <v>3.6</v>
      </c>
      <c r="M46" s="400">
        <f t="shared" si="22"/>
        <v>3.6</v>
      </c>
      <c r="N46" s="400">
        <f t="shared" si="22"/>
        <v>4</v>
      </c>
      <c r="O46" s="400">
        <f t="shared" si="22"/>
        <v>4</v>
      </c>
      <c r="P46" s="400">
        <f t="shared" si="22"/>
        <v>4</v>
      </c>
      <c r="Q46" s="400">
        <f t="shared" si="22"/>
        <v>4</v>
      </c>
      <c r="R46" s="400">
        <f t="shared" si="22"/>
        <v>4</v>
      </c>
      <c r="S46" s="400">
        <f t="shared" si="22"/>
        <v>4</v>
      </c>
      <c r="T46" s="400">
        <f t="shared" si="22"/>
        <v>4</v>
      </c>
      <c r="U46" s="400">
        <f t="shared" si="22"/>
        <v>4</v>
      </c>
      <c r="V46" s="400">
        <f t="shared" si="22"/>
        <v>4</v>
      </c>
      <c r="W46" s="400">
        <f t="shared" si="22"/>
        <v>4</v>
      </c>
      <c r="X46" s="400">
        <f t="shared" si="22"/>
        <v>4</v>
      </c>
      <c r="Y46" s="400">
        <f t="shared" si="22"/>
        <v>4</v>
      </c>
      <c r="Z46" s="400">
        <f t="shared" si="22"/>
        <v>4</v>
      </c>
      <c r="AA46" s="400">
        <f t="shared" si="22"/>
        <v>4</v>
      </c>
      <c r="AB46" s="400">
        <f t="shared" si="22"/>
        <v>4</v>
      </c>
      <c r="AC46" s="400">
        <f t="shared" si="22"/>
        <v>2.8</v>
      </c>
    </row>
    <row r="47" spans="1:37" s="69" customFormat="1" ht="12.75" x14ac:dyDescent="0.2">
      <c r="A47" s="173" t="s">
        <v>136</v>
      </c>
      <c r="B47" s="462"/>
      <c r="C47" s="463"/>
      <c r="D47" s="463"/>
      <c r="E47" s="463"/>
      <c r="F47" s="463"/>
      <c r="G47" s="463"/>
      <c r="H47" s="463"/>
      <c r="I47" s="463"/>
      <c r="J47" s="463"/>
      <c r="K47" s="463"/>
      <c r="L47" s="463"/>
      <c r="M47" s="463"/>
      <c r="N47" s="463"/>
      <c r="O47" s="463"/>
      <c r="P47" s="463"/>
      <c r="Q47" s="463"/>
      <c r="R47" s="463"/>
      <c r="S47" s="463"/>
      <c r="T47" s="463"/>
      <c r="U47" s="463"/>
      <c r="V47" s="463"/>
      <c r="W47" s="463"/>
      <c r="X47" s="463"/>
      <c r="Y47" s="463"/>
      <c r="Z47" s="463"/>
      <c r="AA47" s="463"/>
      <c r="AB47" s="463"/>
      <c r="AC47" s="464"/>
    </row>
    <row r="48" spans="1:37" s="68" customFormat="1" ht="12" x14ac:dyDescent="0.2">
      <c r="A48" s="100" t="s">
        <v>137</v>
      </c>
      <c r="B48" s="103">
        <f t="shared" ref="B48:AB48" si="23">$B$84</f>
        <v>12</v>
      </c>
      <c r="C48" s="103">
        <f t="shared" si="23"/>
        <v>12</v>
      </c>
      <c r="D48" s="103">
        <f t="shared" si="23"/>
        <v>12</v>
      </c>
      <c r="E48" s="103">
        <f t="shared" si="23"/>
        <v>12</v>
      </c>
      <c r="F48" s="103">
        <f t="shared" si="23"/>
        <v>12</v>
      </c>
      <c r="G48" s="103">
        <f t="shared" si="23"/>
        <v>12</v>
      </c>
      <c r="H48" s="103">
        <f t="shared" si="23"/>
        <v>12</v>
      </c>
      <c r="I48" s="103">
        <f t="shared" si="23"/>
        <v>12</v>
      </c>
      <c r="J48" s="103">
        <f t="shared" si="23"/>
        <v>12</v>
      </c>
      <c r="K48" s="103">
        <f t="shared" si="23"/>
        <v>12</v>
      </c>
      <c r="L48" s="103">
        <f t="shared" si="23"/>
        <v>12</v>
      </c>
      <c r="M48" s="103">
        <f t="shared" si="23"/>
        <v>12</v>
      </c>
      <c r="N48" s="103">
        <f t="shared" si="23"/>
        <v>12</v>
      </c>
      <c r="O48" s="103">
        <f t="shared" si="23"/>
        <v>12</v>
      </c>
      <c r="P48" s="103">
        <f t="shared" si="23"/>
        <v>12</v>
      </c>
      <c r="Q48" s="103">
        <f t="shared" si="23"/>
        <v>12</v>
      </c>
      <c r="R48" s="103">
        <f t="shared" si="23"/>
        <v>12</v>
      </c>
      <c r="S48" s="103">
        <f t="shared" si="23"/>
        <v>12</v>
      </c>
      <c r="T48" s="103">
        <f t="shared" si="23"/>
        <v>12</v>
      </c>
      <c r="U48" s="103">
        <f t="shared" si="23"/>
        <v>12</v>
      </c>
      <c r="V48" s="103">
        <f t="shared" si="23"/>
        <v>12</v>
      </c>
      <c r="W48" s="103">
        <f t="shared" si="23"/>
        <v>12</v>
      </c>
      <c r="X48" s="103">
        <f t="shared" si="23"/>
        <v>12</v>
      </c>
      <c r="Y48" s="103">
        <f t="shared" si="23"/>
        <v>12</v>
      </c>
      <c r="Z48" s="103">
        <f t="shared" si="23"/>
        <v>12</v>
      </c>
      <c r="AA48" s="103">
        <f t="shared" si="23"/>
        <v>12</v>
      </c>
      <c r="AB48" s="104">
        <f t="shared" si="23"/>
        <v>12</v>
      </c>
      <c r="AC48" s="103">
        <v>10</v>
      </c>
      <c r="AG48" s="86"/>
      <c r="AH48" s="86"/>
      <c r="AI48" s="86"/>
      <c r="AJ48" s="86"/>
      <c r="AK48" s="86"/>
    </row>
    <row r="49" spans="1:46" s="68" customFormat="1" ht="12" x14ac:dyDescent="0.2">
      <c r="A49" s="100" t="s">
        <v>138</v>
      </c>
      <c r="B49" s="80">
        <f t="shared" ref="B49:Q49" si="24">$B$85</f>
        <v>10</v>
      </c>
      <c r="C49" s="80">
        <f t="shared" si="24"/>
        <v>10</v>
      </c>
      <c r="D49" s="80">
        <f t="shared" si="24"/>
        <v>10</v>
      </c>
      <c r="E49" s="80">
        <f t="shared" si="24"/>
        <v>10</v>
      </c>
      <c r="F49" s="80">
        <f t="shared" si="24"/>
        <v>10</v>
      </c>
      <c r="G49" s="80">
        <f t="shared" si="24"/>
        <v>10</v>
      </c>
      <c r="H49" s="80">
        <f t="shared" si="24"/>
        <v>10</v>
      </c>
      <c r="I49" s="80">
        <f t="shared" si="24"/>
        <v>10</v>
      </c>
      <c r="J49" s="80">
        <f t="shared" si="24"/>
        <v>10</v>
      </c>
      <c r="K49" s="80">
        <f t="shared" si="24"/>
        <v>10</v>
      </c>
      <c r="L49" s="80">
        <f t="shared" si="24"/>
        <v>10</v>
      </c>
      <c r="M49" s="80">
        <f t="shared" si="24"/>
        <v>10</v>
      </c>
      <c r="N49" s="80">
        <f t="shared" si="24"/>
        <v>10</v>
      </c>
      <c r="O49" s="80">
        <f t="shared" si="24"/>
        <v>10</v>
      </c>
      <c r="P49" s="80">
        <f t="shared" si="24"/>
        <v>10</v>
      </c>
      <c r="Q49" s="80">
        <f t="shared" si="24"/>
        <v>10</v>
      </c>
      <c r="R49" s="80">
        <v>12</v>
      </c>
      <c r="S49" s="80">
        <v>12</v>
      </c>
      <c r="T49" s="80">
        <v>12</v>
      </c>
      <c r="U49" s="80">
        <v>12</v>
      </c>
      <c r="V49" s="80">
        <v>12</v>
      </c>
      <c r="W49" s="80">
        <v>12</v>
      </c>
      <c r="X49" s="80">
        <v>12</v>
      </c>
      <c r="Y49" s="80">
        <v>12</v>
      </c>
      <c r="Z49" s="80">
        <v>12</v>
      </c>
      <c r="AA49" s="80">
        <f>$B$85</f>
        <v>10</v>
      </c>
      <c r="AB49" s="80">
        <f>$B$85</f>
        <v>10</v>
      </c>
      <c r="AC49" s="80">
        <v>8</v>
      </c>
      <c r="AG49" s="86"/>
      <c r="AH49" s="86"/>
      <c r="AI49" s="86"/>
      <c r="AJ49" s="86"/>
      <c r="AK49" s="86"/>
    </row>
    <row r="50" spans="1:46" s="68" customFormat="1" ht="12" x14ac:dyDescent="0.2">
      <c r="A50" s="100" t="s">
        <v>139</v>
      </c>
      <c r="B50" s="105">
        <f t="shared" ref="B50:AB50" si="25">$B$86</f>
        <v>18</v>
      </c>
      <c r="C50" s="105">
        <f t="shared" si="25"/>
        <v>18</v>
      </c>
      <c r="D50" s="105">
        <f t="shared" si="25"/>
        <v>18</v>
      </c>
      <c r="E50" s="105">
        <f t="shared" si="25"/>
        <v>18</v>
      </c>
      <c r="F50" s="105">
        <f t="shared" si="25"/>
        <v>18</v>
      </c>
      <c r="G50" s="105">
        <f t="shared" si="25"/>
        <v>18</v>
      </c>
      <c r="H50" s="105">
        <f t="shared" si="25"/>
        <v>18</v>
      </c>
      <c r="I50" s="105">
        <f t="shared" si="25"/>
        <v>18</v>
      </c>
      <c r="J50" s="105">
        <f t="shared" si="25"/>
        <v>18</v>
      </c>
      <c r="K50" s="105">
        <f t="shared" si="25"/>
        <v>18</v>
      </c>
      <c r="L50" s="105">
        <f t="shared" si="25"/>
        <v>18</v>
      </c>
      <c r="M50" s="105">
        <f t="shared" si="25"/>
        <v>18</v>
      </c>
      <c r="N50" s="105">
        <f t="shared" si="25"/>
        <v>18</v>
      </c>
      <c r="O50" s="105">
        <f t="shared" si="25"/>
        <v>18</v>
      </c>
      <c r="P50" s="105">
        <f t="shared" si="25"/>
        <v>18</v>
      </c>
      <c r="Q50" s="105">
        <f t="shared" si="25"/>
        <v>18</v>
      </c>
      <c r="R50" s="105">
        <f t="shared" si="25"/>
        <v>18</v>
      </c>
      <c r="S50" s="105">
        <f t="shared" si="25"/>
        <v>18</v>
      </c>
      <c r="T50" s="105">
        <f t="shared" si="25"/>
        <v>18</v>
      </c>
      <c r="U50" s="105">
        <f t="shared" si="25"/>
        <v>18</v>
      </c>
      <c r="V50" s="105">
        <f t="shared" si="25"/>
        <v>18</v>
      </c>
      <c r="W50" s="105">
        <f t="shared" si="25"/>
        <v>18</v>
      </c>
      <c r="X50" s="105">
        <f t="shared" si="25"/>
        <v>18</v>
      </c>
      <c r="Y50" s="105">
        <f t="shared" si="25"/>
        <v>18</v>
      </c>
      <c r="Z50" s="105">
        <f t="shared" si="25"/>
        <v>18</v>
      </c>
      <c r="AA50" s="105">
        <f t="shared" si="25"/>
        <v>18</v>
      </c>
      <c r="AB50" s="105">
        <f t="shared" si="25"/>
        <v>18</v>
      </c>
      <c r="AC50" s="105">
        <v>15</v>
      </c>
      <c r="AG50" s="86"/>
      <c r="AH50" s="86"/>
      <c r="AI50" s="86"/>
      <c r="AJ50" s="86"/>
      <c r="AK50" s="86"/>
    </row>
    <row r="51" spans="1:46" ht="12" x14ac:dyDescent="0.2">
      <c r="A51" s="100" t="s">
        <v>140</v>
      </c>
      <c r="B51" s="105">
        <f t="shared" ref="B51:Q51" si="26">$B$87</f>
        <v>15</v>
      </c>
      <c r="C51" s="105">
        <f t="shared" si="26"/>
        <v>15</v>
      </c>
      <c r="D51" s="105">
        <f t="shared" si="26"/>
        <v>15</v>
      </c>
      <c r="E51" s="105">
        <f t="shared" si="26"/>
        <v>15</v>
      </c>
      <c r="F51" s="105">
        <f t="shared" si="26"/>
        <v>15</v>
      </c>
      <c r="G51" s="105">
        <f t="shared" si="26"/>
        <v>15</v>
      </c>
      <c r="H51" s="105">
        <f t="shared" si="26"/>
        <v>15</v>
      </c>
      <c r="I51" s="105">
        <f t="shared" si="26"/>
        <v>15</v>
      </c>
      <c r="J51" s="105">
        <f t="shared" si="26"/>
        <v>15</v>
      </c>
      <c r="K51" s="105">
        <f t="shared" si="26"/>
        <v>15</v>
      </c>
      <c r="L51" s="105">
        <f t="shared" si="26"/>
        <v>15</v>
      </c>
      <c r="M51" s="105">
        <f t="shared" si="26"/>
        <v>15</v>
      </c>
      <c r="N51" s="105">
        <f t="shared" si="26"/>
        <v>15</v>
      </c>
      <c r="O51" s="105">
        <f t="shared" si="26"/>
        <v>15</v>
      </c>
      <c r="P51" s="105">
        <f t="shared" si="26"/>
        <v>15</v>
      </c>
      <c r="Q51" s="105">
        <f t="shared" si="26"/>
        <v>15</v>
      </c>
      <c r="R51" s="105">
        <f t="shared" ref="R51:Z51" si="27">R50</f>
        <v>18</v>
      </c>
      <c r="S51" s="105">
        <f t="shared" si="27"/>
        <v>18</v>
      </c>
      <c r="T51" s="105">
        <f t="shared" si="27"/>
        <v>18</v>
      </c>
      <c r="U51" s="105">
        <f t="shared" si="27"/>
        <v>18</v>
      </c>
      <c r="V51" s="105">
        <f t="shared" si="27"/>
        <v>18</v>
      </c>
      <c r="W51" s="105">
        <f t="shared" si="27"/>
        <v>18</v>
      </c>
      <c r="X51" s="105">
        <f t="shared" si="27"/>
        <v>18</v>
      </c>
      <c r="Y51" s="105">
        <f t="shared" si="27"/>
        <v>18</v>
      </c>
      <c r="Z51" s="105">
        <f t="shared" si="27"/>
        <v>18</v>
      </c>
      <c r="AA51" s="105">
        <f>$B$87</f>
        <v>15</v>
      </c>
      <c r="AB51" s="105">
        <f>$B$87</f>
        <v>15</v>
      </c>
      <c r="AC51" s="105">
        <v>12</v>
      </c>
    </row>
    <row r="52" spans="1:46" ht="12" x14ac:dyDescent="0.2">
      <c r="A52" s="107" t="str">
        <f t="shared" ref="A52:A60" si="28">A88</f>
        <v>&gt;= L4 Pilot</v>
      </c>
      <c r="B52" s="108">
        <f t="shared" ref="B52:AC52" si="29">ROUNDUP(IF(B$13="Deploy",MAX((B$78/100)*$B88,$B88),(B$78/100)*$B88),0)</f>
        <v>1</v>
      </c>
      <c r="C52" s="108">
        <f t="shared" si="29"/>
        <v>1</v>
      </c>
      <c r="D52" s="108">
        <f t="shared" si="29"/>
        <v>1</v>
      </c>
      <c r="E52" s="108">
        <f t="shared" si="29"/>
        <v>1</v>
      </c>
      <c r="F52" s="108">
        <f t="shared" si="29"/>
        <v>1</v>
      </c>
      <c r="G52" s="108">
        <f t="shared" si="29"/>
        <v>1</v>
      </c>
      <c r="H52" s="108">
        <f t="shared" si="29"/>
        <v>1</v>
      </c>
      <c r="I52" s="108">
        <f t="shared" si="29"/>
        <v>2</v>
      </c>
      <c r="J52" s="108">
        <f t="shared" si="29"/>
        <v>2</v>
      </c>
      <c r="K52" s="108">
        <f t="shared" si="29"/>
        <v>2</v>
      </c>
      <c r="L52" s="108">
        <f t="shared" si="29"/>
        <v>2</v>
      </c>
      <c r="M52" s="108">
        <f t="shared" si="29"/>
        <v>2</v>
      </c>
      <c r="N52" s="108">
        <f t="shared" si="29"/>
        <v>2</v>
      </c>
      <c r="O52" s="108">
        <f t="shared" si="29"/>
        <v>2</v>
      </c>
      <c r="P52" s="108">
        <f t="shared" si="29"/>
        <v>2</v>
      </c>
      <c r="Q52" s="108">
        <f t="shared" si="29"/>
        <v>2</v>
      </c>
      <c r="R52" s="108">
        <f t="shared" si="29"/>
        <v>2</v>
      </c>
      <c r="S52" s="108">
        <f t="shared" si="29"/>
        <v>2</v>
      </c>
      <c r="T52" s="108">
        <f t="shared" si="29"/>
        <v>2</v>
      </c>
      <c r="U52" s="108">
        <f t="shared" si="29"/>
        <v>2</v>
      </c>
      <c r="V52" s="108">
        <f t="shared" si="29"/>
        <v>2</v>
      </c>
      <c r="W52" s="108">
        <f t="shared" si="29"/>
        <v>2</v>
      </c>
      <c r="X52" s="108">
        <f t="shared" si="29"/>
        <v>2</v>
      </c>
      <c r="Y52" s="108">
        <f t="shared" si="29"/>
        <v>2</v>
      </c>
      <c r="Z52" s="108">
        <f t="shared" si="29"/>
        <v>2</v>
      </c>
      <c r="AA52" s="108">
        <f t="shared" si="29"/>
        <v>2</v>
      </c>
      <c r="AB52" s="108">
        <f t="shared" si="29"/>
        <v>2</v>
      </c>
      <c r="AC52" s="108">
        <f t="shared" si="29"/>
        <v>1</v>
      </c>
    </row>
    <row r="53" spans="1:46" ht="12" x14ac:dyDescent="0.2">
      <c r="A53" s="107" t="str">
        <f t="shared" si="28"/>
        <v>&gt;= L3 Pilot</v>
      </c>
      <c r="B53" s="108">
        <f t="shared" ref="B53:AC53" si="30">ROUNDUP(IF(B$13="Deploy",MAX((B$78/100)*$B89,$B89),(B$78/100)*$B89),0)</f>
        <v>2</v>
      </c>
      <c r="C53" s="108">
        <f t="shared" si="30"/>
        <v>2</v>
      </c>
      <c r="D53" s="108">
        <f t="shared" si="30"/>
        <v>2</v>
      </c>
      <c r="E53" s="108">
        <f t="shared" si="30"/>
        <v>2</v>
      </c>
      <c r="F53" s="108">
        <f t="shared" si="30"/>
        <v>2</v>
      </c>
      <c r="G53" s="108">
        <f t="shared" si="30"/>
        <v>2</v>
      </c>
      <c r="H53" s="108">
        <f t="shared" si="30"/>
        <v>3</v>
      </c>
      <c r="I53" s="108">
        <f t="shared" si="30"/>
        <v>3</v>
      </c>
      <c r="J53" s="108">
        <f t="shared" si="30"/>
        <v>4</v>
      </c>
      <c r="K53" s="108">
        <f t="shared" si="30"/>
        <v>4</v>
      </c>
      <c r="L53" s="108">
        <f t="shared" si="30"/>
        <v>4</v>
      </c>
      <c r="M53" s="108">
        <f t="shared" si="30"/>
        <v>5</v>
      </c>
      <c r="N53" s="108">
        <f t="shared" si="30"/>
        <v>5</v>
      </c>
      <c r="O53" s="108">
        <f t="shared" si="30"/>
        <v>5</v>
      </c>
      <c r="P53" s="108">
        <f t="shared" si="30"/>
        <v>5</v>
      </c>
      <c r="Q53" s="108">
        <f t="shared" si="30"/>
        <v>5</v>
      </c>
      <c r="R53" s="108">
        <f t="shared" si="30"/>
        <v>5</v>
      </c>
      <c r="S53" s="108">
        <f t="shared" si="30"/>
        <v>5</v>
      </c>
      <c r="T53" s="108">
        <f t="shared" si="30"/>
        <v>5</v>
      </c>
      <c r="U53" s="108">
        <f t="shared" si="30"/>
        <v>5</v>
      </c>
      <c r="V53" s="108">
        <f t="shared" si="30"/>
        <v>5</v>
      </c>
      <c r="W53" s="108">
        <f t="shared" si="30"/>
        <v>5</v>
      </c>
      <c r="X53" s="108">
        <f t="shared" si="30"/>
        <v>5</v>
      </c>
      <c r="Y53" s="108">
        <f t="shared" si="30"/>
        <v>5</v>
      </c>
      <c r="Z53" s="108">
        <f t="shared" si="30"/>
        <v>5</v>
      </c>
      <c r="AA53" s="108">
        <f t="shared" si="30"/>
        <v>5</v>
      </c>
      <c r="AB53" s="108">
        <f t="shared" si="30"/>
        <v>5</v>
      </c>
      <c r="AC53" s="108">
        <f t="shared" si="30"/>
        <v>2</v>
      </c>
    </row>
    <row r="54" spans="1:46" ht="12" x14ac:dyDescent="0.2">
      <c r="A54" s="107" t="str">
        <f t="shared" si="28"/>
        <v>&gt;= L2 Pilot</v>
      </c>
      <c r="B54" s="108">
        <f t="shared" ref="B54:AC54" si="31">ROUNDUP(IF(B$13="Deploy",MAX((B$78/100)*$B90,$B90),(B$78/100)*$B90),0)</f>
        <v>3</v>
      </c>
      <c r="C54" s="108">
        <f t="shared" si="31"/>
        <v>3</v>
      </c>
      <c r="D54" s="108">
        <f t="shared" si="31"/>
        <v>3</v>
      </c>
      <c r="E54" s="108">
        <f t="shared" si="31"/>
        <v>3</v>
      </c>
      <c r="F54" s="108">
        <f t="shared" si="31"/>
        <v>3</v>
      </c>
      <c r="G54" s="108">
        <f t="shared" si="31"/>
        <v>3</v>
      </c>
      <c r="H54" s="108">
        <f t="shared" si="31"/>
        <v>3</v>
      </c>
      <c r="I54" s="108">
        <f t="shared" si="31"/>
        <v>4</v>
      </c>
      <c r="J54" s="108">
        <f t="shared" si="31"/>
        <v>4</v>
      </c>
      <c r="K54" s="108">
        <f t="shared" si="31"/>
        <v>4</v>
      </c>
      <c r="L54" s="108">
        <f t="shared" si="31"/>
        <v>5</v>
      </c>
      <c r="M54" s="108">
        <f t="shared" si="31"/>
        <v>6</v>
      </c>
      <c r="N54" s="108">
        <f t="shared" si="31"/>
        <v>6</v>
      </c>
      <c r="O54" s="108">
        <f t="shared" si="31"/>
        <v>6</v>
      </c>
      <c r="P54" s="108">
        <f t="shared" si="31"/>
        <v>6</v>
      </c>
      <c r="Q54" s="108">
        <f t="shared" si="31"/>
        <v>6</v>
      </c>
      <c r="R54" s="108">
        <f t="shared" si="31"/>
        <v>6</v>
      </c>
      <c r="S54" s="108">
        <f t="shared" si="31"/>
        <v>6</v>
      </c>
      <c r="T54" s="108">
        <f t="shared" si="31"/>
        <v>6</v>
      </c>
      <c r="U54" s="108">
        <f t="shared" si="31"/>
        <v>6</v>
      </c>
      <c r="V54" s="108">
        <f t="shared" si="31"/>
        <v>6</v>
      </c>
      <c r="W54" s="108">
        <f t="shared" si="31"/>
        <v>6</v>
      </c>
      <c r="X54" s="108">
        <f t="shared" si="31"/>
        <v>6</v>
      </c>
      <c r="Y54" s="108">
        <f t="shared" si="31"/>
        <v>6</v>
      </c>
      <c r="Z54" s="108">
        <f t="shared" si="31"/>
        <v>6</v>
      </c>
      <c r="AA54" s="108">
        <f t="shared" si="31"/>
        <v>6</v>
      </c>
      <c r="AB54" s="108">
        <f t="shared" si="31"/>
        <v>5</v>
      </c>
      <c r="AC54" s="108">
        <f t="shared" si="31"/>
        <v>3</v>
      </c>
    </row>
    <row r="55" spans="1:46" ht="12" x14ac:dyDescent="0.2">
      <c r="A55" s="107" t="str">
        <f t="shared" si="28"/>
        <v>&gt;= L1 Pilot</v>
      </c>
      <c r="B55" s="108">
        <f t="shared" ref="B55:AC55" si="32">ROUND(IF(B$13="Deploy",MAX((B$78/100)*$B91,$B91),(B$78/100)*$B91),0)</f>
        <v>4</v>
      </c>
      <c r="C55" s="108">
        <f t="shared" si="32"/>
        <v>4</v>
      </c>
      <c r="D55" s="108">
        <f t="shared" si="32"/>
        <v>4</v>
      </c>
      <c r="E55" s="108">
        <f t="shared" si="32"/>
        <v>4</v>
      </c>
      <c r="F55" s="108">
        <f t="shared" si="32"/>
        <v>4</v>
      </c>
      <c r="G55" s="108">
        <f t="shared" si="32"/>
        <v>4</v>
      </c>
      <c r="H55" s="108">
        <f t="shared" si="32"/>
        <v>5</v>
      </c>
      <c r="I55" s="108">
        <f t="shared" si="32"/>
        <v>5</v>
      </c>
      <c r="J55" s="108">
        <f t="shared" si="32"/>
        <v>6</v>
      </c>
      <c r="K55" s="108">
        <f t="shared" si="32"/>
        <v>6</v>
      </c>
      <c r="L55" s="108">
        <f t="shared" si="32"/>
        <v>8</v>
      </c>
      <c r="M55" s="108">
        <f t="shared" si="32"/>
        <v>9</v>
      </c>
      <c r="N55" s="108">
        <f t="shared" si="32"/>
        <v>9</v>
      </c>
      <c r="O55" s="108">
        <f t="shared" si="32"/>
        <v>9</v>
      </c>
      <c r="P55" s="108">
        <f t="shared" si="32"/>
        <v>9</v>
      </c>
      <c r="Q55" s="108">
        <f t="shared" si="32"/>
        <v>9</v>
      </c>
      <c r="R55" s="108">
        <f t="shared" si="32"/>
        <v>10</v>
      </c>
      <c r="S55" s="108">
        <f t="shared" si="32"/>
        <v>10</v>
      </c>
      <c r="T55" s="108">
        <f t="shared" si="32"/>
        <v>10</v>
      </c>
      <c r="U55" s="108">
        <f t="shared" si="32"/>
        <v>10</v>
      </c>
      <c r="V55" s="108">
        <f t="shared" si="32"/>
        <v>10</v>
      </c>
      <c r="W55" s="108">
        <f t="shared" si="32"/>
        <v>10</v>
      </c>
      <c r="X55" s="108">
        <f t="shared" si="32"/>
        <v>9</v>
      </c>
      <c r="Y55" s="108">
        <f t="shared" si="32"/>
        <v>9</v>
      </c>
      <c r="Z55" s="108">
        <f t="shared" si="32"/>
        <v>9</v>
      </c>
      <c r="AA55" s="108">
        <f t="shared" si="32"/>
        <v>8</v>
      </c>
      <c r="AB55" s="108">
        <f t="shared" si="32"/>
        <v>8</v>
      </c>
      <c r="AC55" s="108">
        <f t="shared" si="32"/>
        <v>4</v>
      </c>
    </row>
    <row r="56" spans="1:46" ht="12" x14ac:dyDescent="0.2">
      <c r="A56" s="107" t="str">
        <f t="shared" si="28"/>
        <v>&gt;= L4 NFO</v>
      </c>
      <c r="B56" s="108">
        <f t="shared" ref="B56:AC56" si="33">ROUND(IF(B$13="Deploy",MAX((B$78/100)*$B92,$B92),(B$78/100)*$B92),0)</f>
        <v>1</v>
      </c>
      <c r="C56" s="108">
        <f t="shared" si="33"/>
        <v>1</v>
      </c>
      <c r="D56" s="108">
        <f t="shared" si="33"/>
        <v>1</v>
      </c>
      <c r="E56" s="108">
        <f t="shared" si="33"/>
        <v>1</v>
      </c>
      <c r="F56" s="108">
        <f t="shared" si="33"/>
        <v>1</v>
      </c>
      <c r="G56" s="108">
        <f t="shared" si="33"/>
        <v>1</v>
      </c>
      <c r="H56" s="108">
        <f t="shared" si="33"/>
        <v>2</v>
      </c>
      <c r="I56" s="108">
        <f t="shared" si="33"/>
        <v>2</v>
      </c>
      <c r="J56" s="108">
        <f t="shared" si="33"/>
        <v>2</v>
      </c>
      <c r="K56" s="108">
        <f t="shared" si="33"/>
        <v>3</v>
      </c>
      <c r="L56" s="108">
        <f t="shared" si="33"/>
        <v>3</v>
      </c>
      <c r="M56" s="108">
        <f t="shared" si="33"/>
        <v>3</v>
      </c>
      <c r="N56" s="108">
        <f t="shared" si="33"/>
        <v>3</v>
      </c>
      <c r="O56" s="108">
        <f t="shared" si="33"/>
        <v>3</v>
      </c>
      <c r="P56" s="108">
        <f t="shared" si="33"/>
        <v>3</v>
      </c>
      <c r="Q56" s="108">
        <f t="shared" si="33"/>
        <v>3</v>
      </c>
      <c r="R56" s="108">
        <f t="shared" si="33"/>
        <v>4</v>
      </c>
      <c r="S56" s="108">
        <f t="shared" si="33"/>
        <v>4</v>
      </c>
      <c r="T56" s="108">
        <f t="shared" si="33"/>
        <v>4</v>
      </c>
      <c r="U56" s="108">
        <f t="shared" si="33"/>
        <v>4</v>
      </c>
      <c r="V56" s="108">
        <f t="shared" si="33"/>
        <v>4</v>
      </c>
      <c r="W56" s="108">
        <f t="shared" si="33"/>
        <v>4</v>
      </c>
      <c r="X56" s="108">
        <f t="shared" si="33"/>
        <v>4</v>
      </c>
      <c r="Y56" s="108">
        <f t="shared" si="33"/>
        <v>4</v>
      </c>
      <c r="Z56" s="108">
        <f t="shared" si="33"/>
        <v>3</v>
      </c>
      <c r="AA56" s="108">
        <f t="shared" si="33"/>
        <v>3</v>
      </c>
      <c r="AB56" s="108">
        <f t="shared" si="33"/>
        <v>3</v>
      </c>
      <c r="AC56" s="108">
        <f t="shared" si="33"/>
        <v>1</v>
      </c>
    </row>
    <row r="57" spans="1:46" s="68" customFormat="1" ht="12" x14ac:dyDescent="0.2">
      <c r="A57" s="107" t="str">
        <f t="shared" si="28"/>
        <v>&gt;= L3 NFO</v>
      </c>
      <c r="B57" s="108">
        <f t="shared" ref="B57:AC57" si="34">ROUNDUP(IF(B$13="Deploy",MAX((B$78/100)*$B93,$B93),(B$78/100)*$B93),0)</f>
        <v>3</v>
      </c>
      <c r="C57" s="108">
        <f t="shared" si="34"/>
        <v>3</v>
      </c>
      <c r="D57" s="108">
        <f t="shared" si="34"/>
        <v>3</v>
      </c>
      <c r="E57" s="108">
        <f t="shared" si="34"/>
        <v>3</v>
      </c>
      <c r="F57" s="108">
        <f t="shared" si="34"/>
        <v>3</v>
      </c>
      <c r="G57" s="108">
        <f t="shared" si="34"/>
        <v>3</v>
      </c>
      <c r="H57" s="108">
        <f t="shared" si="34"/>
        <v>4</v>
      </c>
      <c r="I57" s="108">
        <f t="shared" si="34"/>
        <v>4</v>
      </c>
      <c r="J57" s="108">
        <f t="shared" si="34"/>
        <v>5</v>
      </c>
      <c r="K57" s="108">
        <f t="shared" si="34"/>
        <v>5</v>
      </c>
      <c r="L57" s="108">
        <f t="shared" si="34"/>
        <v>6</v>
      </c>
      <c r="M57" s="108">
        <f t="shared" si="34"/>
        <v>6</v>
      </c>
      <c r="N57" s="108">
        <f t="shared" si="34"/>
        <v>6</v>
      </c>
      <c r="O57" s="108">
        <f t="shared" si="34"/>
        <v>6</v>
      </c>
      <c r="P57" s="108">
        <f t="shared" si="34"/>
        <v>6</v>
      </c>
      <c r="Q57" s="108">
        <f t="shared" si="34"/>
        <v>6</v>
      </c>
      <c r="R57" s="108">
        <f t="shared" si="34"/>
        <v>7</v>
      </c>
      <c r="S57" s="108">
        <f t="shared" si="34"/>
        <v>7</v>
      </c>
      <c r="T57" s="108">
        <f t="shared" si="34"/>
        <v>7</v>
      </c>
      <c r="U57" s="108">
        <f t="shared" si="34"/>
        <v>7</v>
      </c>
      <c r="V57" s="108">
        <f t="shared" si="34"/>
        <v>7</v>
      </c>
      <c r="W57" s="108">
        <f t="shared" si="34"/>
        <v>7</v>
      </c>
      <c r="X57" s="108">
        <f t="shared" si="34"/>
        <v>7</v>
      </c>
      <c r="Y57" s="108">
        <f t="shared" si="34"/>
        <v>7</v>
      </c>
      <c r="Z57" s="108">
        <f t="shared" si="34"/>
        <v>6</v>
      </c>
      <c r="AA57" s="108">
        <f t="shared" si="34"/>
        <v>6</v>
      </c>
      <c r="AB57" s="108">
        <f t="shared" si="34"/>
        <v>6</v>
      </c>
      <c r="AC57" s="108">
        <f t="shared" si="34"/>
        <v>3</v>
      </c>
    </row>
    <row r="58" spans="1:46" ht="12" x14ac:dyDescent="0.2">
      <c r="A58" s="107" t="str">
        <f t="shared" si="28"/>
        <v>&gt;= L2 NFO</v>
      </c>
      <c r="B58" s="108">
        <f t="shared" ref="B58:AC58" si="35">ROUND(IF(B$13="Deploy",MAX((B$78/100)*$B94,$B94),(B$78/100)*$B94),0)</f>
        <v>3</v>
      </c>
      <c r="C58" s="108">
        <f t="shared" si="35"/>
        <v>3</v>
      </c>
      <c r="D58" s="108">
        <f t="shared" si="35"/>
        <v>3</v>
      </c>
      <c r="E58" s="108">
        <f t="shared" si="35"/>
        <v>3</v>
      </c>
      <c r="F58" s="108">
        <f t="shared" si="35"/>
        <v>3</v>
      </c>
      <c r="G58" s="108">
        <f t="shared" si="35"/>
        <v>3</v>
      </c>
      <c r="H58" s="108">
        <f t="shared" si="35"/>
        <v>4</v>
      </c>
      <c r="I58" s="108">
        <f t="shared" si="35"/>
        <v>5</v>
      </c>
      <c r="J58" s="108">
        <f t="shared" si="35"/>
        <v>5</v>
      </c>
      <c r="K58" s="108">
        <f t="shared" si="35"/>
        <v>6</v>
      </c>
      <c r="L58" s="108">
        <f t="shared" si="35"/>
        <v>7</v>
      </c>
      <c r="M58" s="108">
        <f t="shared" si="35"/>
        <v>8</v>
      </c>
      <c r="N58" s="108">
        <f t="shared" si="35"/>
        <v>8</v>
      </c>
      <c r="O58" s="108">
        <f t="shared" si="35"/>
        <v>8</v>
      </c>
      <c r="P58" s="108">
        <f t="shared" si="35"/>
        <v>8</v>
      </c>
      <c r="Q58" s="108">
        <f t="shared" si="35"/>
        <v>8</v>
      </c>
      <c r="R58" s="108">
        <f t="shared" si="35"/>
        <v>9</v>
      </c>
      <c r="S58" s="108">
        <f t="shared" si="35"/>
        <v>9</v>
      </c>
      <c r="T58" s="108">
        <f t="shared" si="35"/>
        <v>9</v>
      </c>
      <c r="U58" s="108">
        <f t="shared" si="35"/>
        <v>9</v>
      </c>
      <c r="V58" s="108">
        <f t="shared" si="35"/>
        <v>9</v>
      </c>
      <c r="W58" s="108">
        <f t="shared" si="35"/>
        <v>9</v>
      </c>
      <c r="X58" s="108">
        <f t="shared" si="35"/>
        <v>8</v>
      </c>
      <c r="Y58" s="108">
        <f t="shared" si="35"/>
        <v>8</v>
      </c>
      <c r="Z58" s="108">
        <f t="shared" si="35"/>
        <v>8</v>
      </c>
      <c r="AA58" s="108">
        <f t="shared" si="35"/>
        <v>8</v>
      </c>
      <c r="AB58" s="108">
        <f t="shared" si="35"/>
        <v>7</v>
      </c>
      <c r="AC58" s="108">
        <f t="shared" si="35"/>
        <v>3</v>
      </c>
    </row>
    <row r="59" spans="1:46" ht="12" x14ac:dyDescent="0.2">
      <c r="A59" s="107" t="str">
        <f t="shared" si="28"/>
        <v>&gt;= L1 NFO</v>
      </c>
      <c r="B59" s="108">
        <f t="shared" ref="B59:AC59" si="36">ROUND(IF(B$13="Deploy",MAX((B$78/100)*$B95,$B95),(B$78/100)*$B95),0)</f>
        <v>6</v>
      </c>
      <c r="C59" s="108">
        <f t="shared" si="36"/>
        <v>6</v>
      </c>
      <c r="D59" s="108">
        <f t="shared" si="36"/>
        <v>6</v>
      </c>
      <c r="E59" s="108">
        <f t="shared" si="36"/>
        <v>6</v>
      </c>
      <c r="F59" s="108">
        <f t="shared" si="36"/>
        <v>6</v>
      </c>
      <c r="G59" s="108">
        <f t="shared" si="36"/>
        <v>6</v>
      </c>
      <c r="H59" s="108">
        <f t="shared" si="36"/>
        <v>7</v>
      </c>
      <c r="I59" s="108">
        <f t="shared" si="36"/>
        <v>8</v>
      </c>
      <c r="J59" s="108">
        <f t="shared" si="36"/>
        <v>9</v>
      </c>
      <c r="K59" s="108">
        <f t="shared" si="36"/>
        <v>9</v>
      </c>
      <c r="L59" s="108">
        <f t="shared" si="36"/>
        <v>11</v>
      </c>
      <c r="M59" s="108">
        <f t="shared" si="36"/>
        <v>13</v>
      </c>
      <c r="N59" s="108">
        <f t="shared" si="36"/>
        <v>13</v>
      </c>
      <c r="O59" s="108">
        <f t="shared" si="36"/>
        <v>13</v>
      </c>
      <c r="P59" s="108">
        <f t="shared" si="36"/>
        <v>13</v>
      </c>
      <c r="Q59" s="108">
        <f t="shared" si="36"/>
        <v>13</v>
      </c>
      <c r="R59" s="108">
        <f t="shared" si="36"/>
        <v>15</v>
      </c>
      <c r="S59" s="108">
        <f t="shared" si="36"/>
        <v>15</v>
      </c>
      <c r="T59" s="108">
        <f t="shared" si="36"/>
        <v>15</v>
      </c>
      <c r="U59" s="108">
        <f t="shared" si="36"/>
        <v>15</v>
      </c>
      <c r="V59" s="108">
        <f t="shared" si="36"/>
        <v>15</v>
      </c>
      <c r="W59" s="108">
        <f t="shared" si="36"/>
        <v>15</v>
      </c>
      <c r="X59" s="108">
        <f t="shared" si="36"/>
        <v>14</v>
      </c>
      <c r="Y59" s="108">
        <f t="shared" si="36"/>
        <v>14</v>
      </c>
      <c r="Z59" s="108">
        <f t="shared" si="36"/>
        <v>13</v>
      </c>
      <c r="AA59" s="108">
        <f t="shared" si="36"/>
        <v>13</v>
      </c>
      <c r="AB59" s="108">
        <f t="shared" si="36"/>
        <v>12</v>
      </c>
      <c r="AC59" s="108">
        <f t="shared" si="36"/>
        <v>6</v>
      </c>
    </row>
    <row r="60" spans="1:46" ht="12" x14ac:dyDescent="0.2">
      <c r="A60" s="107" t="str">
        <f t="shared" si="28"/>
        <v>&gt;=JMPS SME</v>
      </c>
      <c r="B60" s="108">
        <f t="shared" ref="B60:AC60" si="37">ROUND(IF(B$13="Deploy",MAX((B$78/100)*$B96,$B96),(B$78/100)*$B96),0)</f>
        <v>1</v>
      </c>
      <c r="C60" s="108">
        <f t="shared" si="37"/>
        <v>1</v>
      </c>
      <c r="D60" s="108">
        <f t="shared" si="37"/>
        <v>1</v>
      </c>
      <c r="E60" s="108">
        <f t="shared" si="37"/>
        <v>1</v>
      </c>
      <c r="F60" s="108">
        <f t="shared" si="37"/>
        <v>1</v>
      </c>
      <c r="G60" s="108">
        <f t="shared" si="37"/>
        <v>1</v>
      </c>
      <c r="H60" s="108">
        <f t="shared" si="37"/>
        <v>1</v>
      </c>
      <c r="I60" s="108">
        <f t="shared" si="37"/>
        <v>1</v>
      </c>
      <c r="J60" s="108">
        <f t="shared" si="37"/>
        <v>1</v>
      </c>
      <c r="K60" s="108">
        <f t="shared" si="37"/>
        <v>1</v>
      </c>
      <c r="L60" s="108">
        <f t="shared" si="37"/>
        <v>2</v>
      </c>
      <c r="M60" s="108">
        <f t="shared" si="37"/>
        <v>2</v>
      </c>
      <c r="N60" s="108">
        <f t="shared" si="37"/>
        <v>2</v>
      </c>
      <c r="O60" s="108">
        <f t="shared" si="37"/>
        <v>2</v>
      </c>
      <c r="P60" s="108">
        <f t="shared" si="37"/>
        <v>2</v>
      </c>
      <c r="Q60" s="108">
        <f t="shared" si="37"/>
        <v>2</v>
      </c>
      <c r="R60" s="108">
        <f t="shared" si="37"/>
        <v>2</v>
      </c>
      <c r="S60" s="108">
        <f t="shared" si="37"/>
        <v>2</v>
      </c>
      <c r="T60" s="108">
        <f t="shared" si="37"/>
        <v>2</v>
      </c>
      <c r="U60" s="108">
        <f t="shared" si="37"/>
        <v>2</v>
      </c>
      <c r="V60" s="108">
        <f t="shared" si="37"/>
        <v>2</v>
      </c>
      <c r="W60" s="108">
        <f t="shared" si="37"/>
        <v>2</v>
      </c>
      <c r="X60" s="108">
        <f t="shared" si="37"/>
        <v>2</v>
      </c>
      <c r="Y60" s="108">
        <f t="shared" si="37"/>
        <v>2</v>
      </c>
      <c r="Z60" s="108">
        <f t="shared" si="37"/>
        <v>2</v>
      </c>
      <c r="AA60" s="108">
        <f t="shared" si="37"/>
        <v>2</v>
      </c>
      <c r="AB60" s="108">
        <f t="shared" si="37"/>
        <v>2</v>
      </c>
      <c r="AC60" s="108">
        <f t="shared" si="37"/>
        <v>1</v>
      </c>
    </row>
    <row r="61" spans="1:46" ht="12" x14ac:dyDescent="0.2">
      <c r="A61" s="107" t="str">
        <f>A97</f>
        <v># Skilled Crews</v>
      </c>
      <c r="B61" s="108">
        <f t="shared" ref="B61:AC61" si="38">ROUND(IF(B$13="Deploy",MAX((B$78/100)*$B97,$B97),(B$78/100)*$B97),0)</f>
        <v>2</v>
      </c>
      <c r="C61" s="108">
        <f t="shared" si="38"/>
        <v>2</v>
      </c>
      <c r="D61" s="108">
        <f t="shared" si="38"/>
        <v>2</v>
      </c>
      <c r="E61" s="108">
        <f t="shared" si="38"/>
        <v>2</v>
      </c>
      <c r="F61" s="108">
        <f t="shared" si="38"/>
        <v>2</v>
      </c>
      <c r="G61" s="108">
        <f t="shared" si="38"/>
        <v>2</v>
      </c>
      <c r="H61" s="108">
        <f t="shared" si="38"/>
        <v>3</v>
      </c>
      <c r="I61" s="108">
        <f t="shared" si="38"/>
        <v>3</v>
      </c>
      <c r="J61" s="108">
        <f t="shared" si="38"/>
        <v>4</v>
      </c>
      <c r="K61" s="108">
        <f t="shared" si="38"/>
        <v>4</v>
      </c>
      <c r="L61" s="108">
        <f t="shared" si="38"/>
        <v>5</v>
      </c>
      <c r="M61" s="108">
        <f t="shared" si="38"/>
        <v>5</v>
      </c>
      <c r="N61" s="108">
        <f t="shared" si="38"/>
        <v>5</v>
      </c>
      <c r="O61" s="108">
        <f t="shared" si="38"/>
        <v>5</v>
      </c>
      <c r="P61" s="108">
        <f t="shared" si="38"/>
        <v>5</v>
      </c>
      <c r="Q61" s="108">
        <f t="shared" si="38"/>
        <v>5</v>
      </c>
      <c r="R61" s="108">
        <f t="shared" si="38"/>
        <v>6</v>
      </c>
      <c r="S61" s="108">
        <f t="shared" si="38"/>
        <v>6</v>
      </c>
      <c r="T61" s="108">
        <f t="shared" si="38"/>
        <v>6</v>
      </c>
      <c r="U61" s="108">
        <f t="shared" si="38"/>
        <v>6</v>
      </c>
      <c r="V61" s="108">
        <f t="shared" si="38"/>
        <v>6</v>
      </c>
      <c r="W61" s="108">
        <f t="shared" si="38"/>
        <v>6</v>
      </c>
      <c r="X61" s="108">
        <f t="shared" si="38"/>
        <v>6</v>
      </c>
      <c r="Y61" s="108">
        <f t="shared" si="38"/>
        <v>5</v>
      </c>
      <c r="Z61" s="108">
        <f t="shared" si="38"/>
        <v>5</v>
      </c>
      <c r="AA61" s="108">
        <f t="shared" si="38"/>
        <v>5</v>
      </c>
      <c r="AB61" s="108">
        <f t="shared" si="38"/>
        <v>5</v>
      </c>
      <c r="AC61" s="108">
        <f t="shared" si="38"/>
        <v>2</v>
      </c>
    </row>
    <row r="62" spans="1:46" s="298" customFormat="1" ht="12.75" x14ac:dyDescent="0.2">
      <c r="A62" s="290" t="s">
        <v>141</v>
      </c>
      <c r="B62" s="291"/>
      <c r="C62" s="292"/>
      <c r="D62" s="292"/>
      <c r="E62" s="292"/>
      <c r="F62" s="292"/>
      <c r="G62" s="293"/>
      <c r="H62" s="293"/>
      <c r="I62" s="293"/>
      <c r="J62" s="293"/>
      <c r="K62" s="293"/>
      <c r="L62" s="293"/>
      <c r="M62" s="293"/>
      <c r="N62" s="293"/>
      <c r="O62" s="293"/>
      <c r="P62" s="294"/>
      <c r="Q62" s="294"/>
      <c r="R62" s="295"/>
      <c r="S62" s="295"/>
      <c r="T62" s="295"/>
      <c r="U62" s="295"/>
      <c r="V62" s="295"/>
      <c r="W62" s="295"/>
      <c r="X62" s="295"/>
      <c r="Y62" s="295"/>
      <c r="Z62" s="295"/>
      <c r="AA62" s="295"/>
      <c r="AB62" s="295"/>
      <c r="AC62" s="296"/>
      <c r="AD62" s="297"/>
      <c r="AE62" s="297"/>
      <c r="AF62" s="297"/>
      <c r="AG62" s="297"/>
      <c r="AH62" s="297"/>
      <c r="AI62" s="297"/>
      <c r="AJ62" s="297"/>
      <c r="AK62" s="297"/>
      <c r="AL62" s="297"/>
      <c r="AM62" s="297"/>
      <c r="AN62" s="297"/>
      <c r="AO62" s="297"/>
      <c r="AP62" s="297"/>
      <c r="AQ62" s="297"/>
      <c r="AR62" s="297"/>
      <c r="AS62" s="297"/>
      <c r="AT62" s="297"/>
    </row>
    <row r="63" spans="1:46" s="300" customFormat="1" ht="12" x14ac:dyDescent="0.2">
      <c r="A63" s="2" t="s">
        <v>142</v>
      </c>
      <c r="B63" s="299">
        <v>0.95</v>
      </c>
      <c r="C63" s="299">
        <v>0.95</v>
      </c>
      <c r="D63" s="299">
        <v>0.95</v>
      </c>
      <c r="E63" s="299">
        <v>0.95</v>
      </c>
      <c r="F63" s="299">
        <v>0.95</v>
      </c>
      <c r="G63" s="299">
        <v>0.95</v>
      </c>
      <c r="H63" s="299">
        <v>0.95</v>
      </c>
      <c r="I63" s="299">
        <v>0.95</v>
      </c>
      <c r="J63" s="299">
        <v>0.95</v>
      </c>
      <c r="K63" s="299">
        <v>0.95</v>
      </c>
      <c r="L63" s="299">
        <v>0.95</v>
      </c>
      <c r="M63" s="299">
        <v>0.95</v>
      </c>
      <c r="N63" s="299">
        <v>0.95</v>
      </c>
      <c r="O63" s="299">
        <v>0.95</v>
      </c>
      <c r="P63" s="299">
        <v>0.95</v>
      </c>
      <c r="Q63" s="299">
        <v>0.95</v>
      </c>
      <c r="R63" s="299">
        <v>0.95</v>
      </c>
      <c r="S63" s="299">
        <v>0.95</v>
      </c>
      <c r="T63" s="299">
        <v>0.95</v>
      </c>
      <c r="U63" s="299">
        <v>0.95</v>
      </c>
      <c r="V63" s="299">
        <v>0.95</v>
      </c>
      <c r="W63" s="299">
        <v>0.95</v>
      </c>
      <c r="X63" s="299">
        <v>0.95</v>
      </c>
      <c r="Y63" s="299">
        <v>0.95</v>
      </c>
      <c r="Z63" s="299">
        <v>0.95</v>
      </c>
      <c r="AA63" s="299">
        <v>0.95</v>
      </c>
      <c r="AB63" s="299">
        <v>0.95</v>
      </c>
      <c r="AC63" s="299">
        <v>0.95</v>
      </c>
    </row>
    <row r="64" spans="1:46" s="298" customFormat="1" ht="12" x14ac:dyDescent="0.2">
      <c r="A64" s="2" t="s">
        <v>143</v>
      </c>
      <c r="B64" s="301">
        <v>0.92</v>
      </c>
      <c r="C64" s="301">
        <v>0.92</v>
      </c>
      <c r="D64" s="301">
        <v>0.92</v>
      </c>
      <c r="E64" s="301">
        <v>0.92</v>
      </c>
      <c r="F64" s="301">
        <v>0.92</v>
      </c>
      <c r="G64" s="301">
        <v>0.92</v>
      </c>
      <c r="H64" s="301">
        <v>0.92</v>
      </c>
      <c r="I64" s="301">
        <v>0.92</v>
      </c>
      <c r="J64" s="301">
        <v>0.92</v>
      </c>
      <c r="K64" s="301">
        <v>0.92</v>
      </c>
      <c r="L64" s="301">
        <v>0.92</v>
      </c>
      <c r="M64" s="301">
        <v>0.92</v>
      </c>
      <c r="N64" s="301">
        <v>0.92</v>
      </c>
      <c r="O64" s="301">
        <v>0.92</v>
      </c>
      <c r="P64" s="301">
        <v>0.92</v>
      </c>
      <c r="Q64" s="301">
        <v>0.92</v>
      </c>
      <c r="R64" s="301">
        <v>0.92</v>
      </c>
      <c r="S64" s="301">
        <v>0.92</v>
      </c>
      <c r="T64" s="301">
        <v>0.92</v>
      </c>
      <c r="U64" s="301">
        <v>0.92</v>
      </c>
      <c r="V64" s="301">
        <v>0.92</v>
      </c>
      <c r="W64" s="301">
        <v>0.92</v>
      </c>
      <c r="X64" s="301">
        <v>0.92</v>
      </c>
      <c r="Y64" s="301">
        <v>0.92</v>
      </c>
      <c r="Z64" s="301">
        <v>0.92</v>
      </c>
      <c r="AA64" s="301">
        <v>0.92</v>
      </c>
      <c r="AB64" s="301">
        <v>0.92</v>
      </c>
      <c r="AC64" s="301">
        <v>0.92</v>
      </c>
      <c r="AD64" s="297"/>
      <c r="AE64" s="297"/>
      <c r="AF64" s="297"/>
      <c r="AG64" s="297"/>
      <c r="AH64" s="297"/>
      <c r="AI64" s="297"/>
      <c r="AJ64" s="297"/>
      <c r="AK64" s="297"/>
      <c r="AL64" s="297"/>
      <c r="AM64" s="297"/>
      <c r="AN64" s="297"/>
      <c r="AO64" s="297"/>
      <c r="AP64" s="297"/>
      <c r="AQ64" s="297"/>
      <c r="AR64" s="297"/>
      <c r="AS64" s="297"/>
      <c r="AT64" s="297"/>
    </row>
    <row r="65" spans="1:46" s="298" customFormat="1" ht="12" x14ac:dyDescent="0.2">
      <c r="A65" s="2" t="s">
        <v>144</v>
      </c>
      <c r="B65" s="301">
        <v>0.75</v>
      </c>
      <c r="C65" s="301">
        <v>0.75</v>
      </c>
      <c r="D65" s="301">
        <v>0.75</v>
      </c>
      <c r="E65" s="301">
        <v>0.75</v>
      </c>
      <c r="F65" s="301">
        <v>0.75</v>
      </c>
      <c r="G65" s="301">
        <v>0.75</v>
      </c>
      <c r="H65" s="301">
        <v>0.75</v>
      </c>
      <c r="I65" s="301">
        <v>0.75</v>
      </c>
      <c r="J65" s="301">
        <v>0.75</v>
      </c>
      <c r="K65" s="301">
        <v>0.75</v>
      </c>
      <c r="L65" s="301">
        <v>0.75</v>
      </c>
      <c r="M65" s="301">
        <v>0.75</v>
      </c>
      <c r="N65" s="301">
        <v>0.75</v>
      </c>
      <c r="O65" s="301">
        <v>0.75</v>
      </c>
      <c r="P65" s="301">
        <v>0.75</v>
      </c>
      <c r="Q65" s="301">
        <v>0.75</v>
      </c>
      <c r="R65" s="301">
        <v>0.75</v>
      </c>
      <c r="S65" s="301">
        <v>0.75</v>
      </c>
      <c r="T65" s="301">
        <v>0.75</v>
      </c>
      <c r="U65" s="301">
        <v>0.75</v>
      </c>
      <c r="V65" s="301">
        <v>0.75</v>
      </c>
      <c r="W65" s="301">
        <v>0.75</v>
      </c>
      <c r="X65" s="301">
        <v>0.75</v>
      </c>
      <c r="Y65" s="301">
        <v>0.75</v>
      </c>
      <c r="Z65" s="301">
        <v>0.75</v>
      </c>
      <c r="AA65" s="301">
        <v>0.75</v>
      </c>
      <c r="AB65" s="301">
        <v>0.75</v>
      </c>
      <c r="AC65" s="301">
        <v>0.75</v>
      </c>
      <c r="AD65" s="297"/>
      <c r="AE65" s="297"/>
      <c r="AF65" s="297"/>
      <c r="AG65" s="297"/>
      <c r="AH65" s="297"/>
      <c r="AI65" s="297"/>
      <c r="AJ65" s="297"/>
      <c r="AK65" s="297"/>
      <c r="AL65" s="297"/>
      <c r="AM65" s="297"/>
      <c r="AN65" s="297"/>
      <c r="AO65" s="297"/>
      <c r="AP65" s="297"/>
      <c r="AQ65" s="297"/>
      <c r="AR65" s="297"/>
      <c r="AS65" s="297"/>
      <c r="AT65" s="297"/>
    </row>
    <row r="66" spans="1:46" x14ac:dyDescent="0.2">
      <c r="A66" s="165"/>
      <c r="B66" s="158"/>
      <c r="C66" s="158"/>
      <c r="D66" s="158"/>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c r="AC66" s="158"/>
    </row>
    <row r="67" spans="1:46" ht="12" x14ac:dyDescent="0.2">
      <c r="A67" s="111"/>
      <c r="B67" s="69"/>
      <c r="C67" s="69"/>
      <c r="D67" s="113"/>
      <c r="E67" s="113"/>
      <c r="F67" s="113"/>
      <c r="G67" s="113"/>
      <c r="H67" s="113"/>
      <c r="I67" s="113"/>
      <c r="J67" s="113"/>
      <c r="K67" s="113"/>
      <c r="L67" s="113"/>
      <c r="M67" s="113"/>
      <c r="N67" s="113"/>
      <c r="O67" s="113"/>
      <c r="P67" s="113"/>
      <c r="Q67" s="113"/>
      <c r="R67" s="113"/>
      <c r="S67" s="113"/>
      <c r="T67" s="113"/>
      <c r="U67" s="113"/>
      <c r="V67" s="113"/>
      <c r="W67" s="113"/>
      <c r="X67" s="113"/>
      <c r="Y67" s="113"/>
      <c r="Z67" s="113"/>
      <c r="AA67" s="113"/>
      <c r="AB67" s="113"/>
      <c r="AC67" s="113"/>
    </row>
    <row r="68" spans="1:46" ht="12" x14ac:dyDescent="0.2">
      <c r="A68" s="111"/>
      <c r="B68" s="69"/>
      <c r="C68" s="69"/>
      <c r="D68" s="113"/>
      <c r="E68" s="113"/>
      <c r="F68" s="113"/>
      <c r="G68" s="113"/>
      <c r="H68" s="113"/>
      <c r="I68" s="113"/>
      <c r="J68" s="113"/>
      <c r="K68" s="113"/>
      <c r="L68" s="113"/>
      <c r="M68" s="113"/>
      <c r="N68" s="113"/>
      <c r="O68" s="113"/>
      <c r="P68" s="113"/>
      <c r="Q68" s="113"/>
      <c r="R68" s="113"/>
      <c r="S68" s="113"/>
      <c r="T68" s="113"/>
      <c r="U68" s="113"/>
      <c r="V68" s="113"/>
      <c r="W68" s="113"/>
      <c r="X68" s="113"/>
      <c r="Y68" s="113"/>
      <c r="Z68" s="113"/>
      <c r="AA68" s="113"/>
      <c r="AB68" s="113"/>
      <c r="AC68" s="113"/>
    </row>
    <row r="69" spans="1:46" ht="12" x14ac:dyDescent="0.2">
      <c r="A69" s="111"/>
      <c r="B69" s="69"/>
      <c r="C69" s="69"/>
      <c r="D69" s="113"/>
      <c r="E69" s="113"/>
      <c r="F69" s="113"/>
      <c r="G69" s="113"/>
      <c r="H69" s="113"/>
      <c r="I69" s="113"/>
      <c r="J69" s="113"/>
      <c r="K69" s="113"/>
      <c r="L69" s="113"/>
      <c r="M69" s="113"/>
      <c r="N69" s="113"/>
      <c r="O69" s="113"/>
      <c r="P69" s="113"/>
      <c r="Q69" s="113"/>
      <c r="R69" s="113"/>
      <c r="S69" s="113"/>
      <c r="T69" s="113"/>
      <c r="U69" s="113"/>
      <c r="V69" s="113"/>
      <c r="W69" s="113"/>
      <c r="X69" s="113"/>
      <c r="Y69" s="113"/>
      <c r="Z69" s="113"/>
      <c r="AA69" s="113"/>
      <c r="AB69" s="113"/>
      <c r="AC69" s="113"/>
    </row>
    <row r="70" spans="1:46" ht="12" x14ac:dyDescent="0.2">
      <c r="A70" s="111"/>
      <c r="B70" s="69"/>
      <c r="C70" s="69"/>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row>
    <row r="71" spans="1:46" ht="12.75" thickBot="1" x14ac:dyDescent="0.25">
      <c r="A71" s="114"/>
      <c r="B71" s="113"/>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E71" s="117"/>
      <c r="AF71" s="118"/>
    </row>
    <row r="72" spans="1:46" ht="13.5" thickBot="1" x14ac:dyDescent="0.25">
      <c r="A72" s="472" t="s">
        <v>145</v>
      </c>
      <c r="B72" s="473"/>
      <c r="C72" s="473"/>
      <c r="D72" s="473"/>
      <c r="E72" s="473"/>
      <c r="F72" s="473"/>
      <c r="G72" s="473"/>
      <c r="H72" s="473"/>
      <c r="I72" s="473"/>
      <c r="J72" s="473"/>
      <c r="K72" s="473"/>
      <c r="L72" s="473"/>
      <c r="M72" s="473"/>
      <c r="N72" s="473"/>
      <c r="O72" s="473"/>
      <c r="P72" s="473"/>
      <c r="Q72" s="473"/>
      <c r="R72" s="473"/>
      <c r="S72" s="473"/>
      <c r="T72" s="473"/>
      <c r="U72" s="473"/>
      <c r="V72" s="473"/>
      <c r="W72" s="473"/>
      <c r="X72" s="473"/>
      <c r="Y72" s="473"/>
      <c r="Z72" s="473"/>
      <c r="AA72" s="473"/>
      <c r="AB72" s="473"/>
      <c r="AC72" s="474"/>
      <c r="AE72" s="86"/>
      <c r="AF72" s="86"/>
    </row>
    <row r="73" spans="1:46" ht="12" x14ac:dyDescent="0.2">
      <c r="A73" s="119" t="s">
        <v>146</v>
      </c>
      <c r="B73" s="120">
        <f t="shared" ref="B73:AC73" si="39">MIN(100,B75+$B$79)</f>
        <v>45.303509080419353</v>
      </c>
      <c r="C73" s="120">
        <f t="shared" si="39"/>
        <v>45.303509080419353</v>
      </c>
      <c r="D73" s="120">
        <f t="shared" si="39"/>
        <v>45.303509080419353</v>
      </c>
      <c r="E73" s="120">
        <f t="shared" si="39"/>
        <v>45.303509080419353</v>
      </c>
      <c r="F73" s="120">
        <f t="shared" si="39"/>
        <v>45.303509080419353</v>
      </c>
      <c r="G73" s="120">
        <f t="shared" si="39"/>
        <v>53.303509080419353</v>
      </c>
      <c r="H73" s="120">
        <f t="shared" si="39"/>
        <v>55.303509080419353</v>
      </c>
      <c r="I73" s="120">
        <f t="shared" si="39"/>
        <v>55.303509080419353</v>
      </c>
      <c r="J73" s="120">
        <f t="shared" si="39"/>
        <v>65.30350908041936</v>
      </c>
      <c r="K73" s="120">
        <f t="shared" si="39"/>
        <v>90.30350908041936</v>
      </c>
      <c r="L73" s="120">
        <f t="shared" si="39"/>
        <v>100</v>
      </c>
      <c r="M73" s="120">
        <f t="shared" si="39"/>
        <v>100</v>
      </c>
      <c r="N73" s="120">
        <f t="shared" si="39"/>
        <v>100</v>
      </c>
      <c r="O73" s="120">
        <f t="shared" si="39"/>
        <v>100</v>
      </c>
      <c r="P73" s="120">
        <f t="shared" si="39"/>
        <v>100</v>
      </c>
      <c r="Q73" s="120">
        <f t="shared" si="39"/>
        <v>100</v>
      </c>
      <c r="R73" s="120">
        <f t="shared" si="39"/>
        <v>100</v>
      </c>
      <c r="S73" s="120">
        <f t="shared" si="39"/>
        <v>100</v>
      </c>
      <c r="T73" s="120">
        <f t="shared" si="39"/>
        <v>100</v>
      </c>
      <c r="U73" s="120">
        <f t="shared" si="39"/>
        <v>100</v>
      </c>
      <c r="V73" s="120">
        <f t="shared" si="39"/>
        <v>100</v>
      </c>
      <c r="W73" s="120">
        <f t="shared" si="39"/>
        <v>100</v>
      </c>
      <c r="X73" s="120">
        <f t="shared" si="39"/>
        <v>100</v>
      </c>
      <c r="Y73" s="120">
        <f t="shared" si="39"/>
        <v>100</v>
      </c>
      <c r="Z73" s="120">
        <f t="shared" si="39"/>
        <v>100</v>
      </c>
      <c r="AA73" s="120">
        <f t="shared" si="39"/>
        <v>100</v>
      </c>
      <c r="AB73" s="121">
        <f t="shared" si="39"/>
        <v>95.30350908041936</v>
      </c>
      <c r="AC73" s="35">
        <f t="shared" si="39"/>
        <v>45.303509080419353</v>
      </c>
      <c r="AE73" s="86"/>
      <c r="AF73" s="86"/>
    </row>
    <row r="74" spans="1:46" ht="12" x14ac:dyDescent="0.2">
      <c r="A74" s="122" t="s">
        <v>147</v>
      </c>
      <c r="B74" s="123">
        <f t="shared" ref="B74:AC74" si="40">MIN(100,B75+$B$80)</f>
        <v>27.651754540209676</v>
      </c>
      <c r="C74" s="123">
        <f t="shared" si="40"/>
        <v>27.651754540209676</v>
      </c>
      <c r="D74" s="123">
        <f t="shared" si="40"/>
        <v>27.651754540209676</v>
      </c>
      <c r="E74" s="123">
        <f t="shared" si="40"/>
        <v>27.651754540209676</v>
      </c>
      <c r="F74" s="123">
        <f t="shared" si="40"/>
        <v>27.651754540209676</v>
      </c>
      <c r="G74" s="123">
        <f t="shared" si="40"/>
        <v>35.65175454020968</v>
      </c>
      <c r="H74" s="123">
        <f t="shared" si="40"/>
        <v>37.65175454020968</v>
      </c>
      <c r="I74" s="123">
        <f t="shared" si="40"/>
        <v>37.65175454020968</v>
      </c>
      <c r="J74" s="123">
        <f t="shared" si="40"/>
        <v>47.65175454020968</v>
      </c>
      <c r="K74" s="123">
        <f t="shared" si="40"/>
        <v>72.65175454020968</v>
      </c>
      <c r="L74" s="123">
        <f t="shared" si="40"/>
        <v>97.65175454020968</v>
      </c>
      <c r="M74" s="123">
        <f t="shared" si="40"/>
        <v>100</v>
      </c>
      <c r="N74" s="123">
        <f t="shared" si="40"/>
        <v>100</v>
      </c>
      <c r="O74" s="123">
        <f t="shared" si="40"/>
        <v>100</v>
      </c>
      <c r="P74" s="123">
        <f t="shared" si="40"/>
        <v>100</v>
      </c>
      <c r="Q74" s="123">
        <f t="shared" si="40"/>
        <v>100</v>
      </c>
      <c r="R74" s="123">
        <f t="shared" si="40"/>
        <v>100</v>
      </c>
      <c r="S74" s="123">
        <f t="shared" si="40"/>
        <v>100</v>
      </c>
      <c r="T74" s="123">
        <f t="shared" si="40"/>
        <v>100</v>
      </c>
      <c r="U74" s="123">
        <f t="shared" si="40"/>
        <v>100</v>
      </c>
      <c r="V74" s="123">
        <f t="shared" si="40"/>
        <v>100</v>
      </c>
      <c r="W74" s="123">
        <f t="shared" si="40"/>
        <v>100</v>
      </c>
      <c r="X74" s="123">
        <f t="shared" si="40"/>
        <v>100</v>
      </c>
      <c r="Y74" s="123">
        <f t="shared" si="40"/>
        <v>100</v>
      </c>
      <c r="Z74" s="123">
        <f t="shared" si="40"/>
        <v>100</v>
      </c>
      <c r="AA74" s="123">
        <f t="shared" si="40"/>
        <v>96.65175454020968</v>
      </c>
      <c r="AB74" s="124">
        <f t="shared" si="40"/>
        <v>77.65175454020968</v>
      </c>
      <c r="AC74" s="32">
        <f t="shared" si="40"/>
        <v>27.651754540209676</v>
      </c>
      <c r="AE74" s="86"/>
      <c r="AF74" s="86"/>
    </row>
    <row r="75" spans="1:46" ht="12" x14ac:dyDescent="0.2">
      <c r="A75" s="179" t="s">
        <v>148</v>
      </c>
      <c r="B75" s="125">
        <v>10</v>
      </c>
      <c r="C75" s="125">
        <v>10</v>
      </c>
      <c r="D75" s="125">
        <v>10</v>
      </c>
      <c r="E75" s="125">
        <v>10</v>
      </c>
      <c r="F75" s="125">
        <v>10</v>
      </c>
      <c r="G75" s="125">
        <v>18</v>
      </c>
      <c r="H75" s="125">
        <v>20</v>
      </c>
      <c r="I75" s="125">
        <v>20</v>
      </c>
      <c r="J75" s="125">
        <v>30</v>
      </c>
      <c r="K75" s="125">
        <v>55</v>
      </c>
      <c r="L75" s="125">
        <v>80</v>
      </c>
      <c r="M75" s="125">
        <v>85</v>
      </c>
      <c r="N75" s="125">
        <v>85</v>
      </c>
      <c r="O75" s="125">
        <v>85</v>
      </c>
      <c r="P75" s="125">
        <v>85</v>
      </c>
      <c r="Q75" s="125">
        <v>85</v>
      </c>
      <c r="R75" s="125">
        <v>100</v>
      </c>
      <c r="S75" s="125">
        <v>100</v>
      </c>
      <c r="T75" s="125">
        <v>100</v>
      </c>
      <c r="U75" s="125">
        <v>100</v>
      </c>
      <c r="V75" s="125">
        <v>100</v>
      </c>
      <c r="W75" s="125">
        <v>100</v>
      </c>
      <c r="X75" s="125">
        <v>89</v>
      </c>
      <c r="Y75" s="125">
        <v>84</v>
      </c>
      <c r="Z75" s="125">
        <v>83.666666666666671</v>
      </c>
      <c r="AA75" s="125">
        <v>79</v>
      </c>
      <c r="AB75" s="126">
        <v>60</v>
      </c>
      <c r="AC75" s="33">
        <v>10</v>
      </c>
      <c r="AE75" s="86"/>
      <c r="AF75" s="86"/>
    </row>
    <row r="76" spans="1:46" ht="12" x14ac:dyDescent="0.2">
      <c r="A76" s="122" t="s">
        <v>149</v>
      </c>
      <c r="B76" s="123">
        <f t="shared" ref="B76:AB76" si="41">MIN(80,IF(B13="Deploy",80,MAX(0,B75-$B$80)))</f>
        <v>0</v>
      </c>
      <c r="C76" s="123">
        <f t="shared" si="41"/>
        <v>0</v>
      </c>
      <c r="D76" s="123">
        <f t="shared" si="41"/>
        <v>0</v>
      </c>
      <c r="E76" s="123">
        <f t="shared" si="41"/>
        <v>0</v>
      </c>
      <c r="F76" s="123">
        <f t="shared" si="41"/>
        <v>0</v>
      </c>
      <c r="G76" s="123">
        <f t="shared" si="41"/>
        <v>0.34824545979032351</v>
      </c>
      <c r="H76" s="123">
        <f t="shared" si="41"/>
        <v>2.3482454597903235</v>
      </c>
      <c r="I76" s="123">
        <f t="shared" si="41"/>
        <v>2.3482454597903235</v>
      </c>
      <c r="J76" s="123">
        <f t="shared" si="41"/>
        <v>12.348245459790324</v>
      </c>
      <c r="K76" s="123">
        <f t="shared" si="41"/>
        <v>37.34824545979032</v>
      </c>
      <c r="L76" s="123">
        <f t="shared" si="41"/>
        <v>62.34824545979032</v>
      </c>
      <c r="M76" s="123">
        <f t="shared" si="41"/>
        <v>67.34824545979032</v>
      </c>
      <c r="N76" s="123">
        <f t="shared" si="41"/>
        <v>67.34824545979032</v>
      </c>
      <c r="O76" s="123">
        <f t="shared" si="41"/>
        <v>67.34824545979032</v>
      </c>
      <c r="P76" s="123">
        <f t="shared" si="41"/>
        <v>67.34824545979032</v>
      </c>
      <c r="Q76" s="123">
        <f t="shared" si="41"/>
        <v>67.34824545979032</v>
      </c>
      <c r="R76" s="123">
        <f t="shared" si="41"/>
        <v>80</v>
      </c>
      <c r="S76" s="123">
        <f t="shared" si="41"/>
        <v>80</v>
      </c>
      <c r="T76" s="123">
        <f t="shared" si="41"/>
        <v>80</v>
      </c>
      <c r="U76" s="123">
        <f t="shared" si="41"/>
        <v>80</v>
      </c>
      <c r="V76" s="123">
        <f t="shared" si="41"/>
        <v>80</v>
      </c>
      <c r="W76" s="123">
        <f t="shared" si="41"/>
        <v>80</v>
      </c>
      <c r="X76" s="123">
        <f t="shared" si="41"/>
        <v>71.34824545979032</v>
      </c>
      <c r="Y76" s="123">
        <f t="shared" si="41"/>
        <v>66.34824545979032</v>
      </c>
      <c r="Z76" s="123">
        <f t="shared" si="41"/>
        <v>66.014912126456991</v>
      </c>
      <c r="AA76" s="123">
        <f t="shared" si="41"/>
        <v>61.34824545979032</v>
      </c>
      <c r="AB76" s="124">
        <f t="shared" si="41"/>
        <v>42.34824545979032</v>
      </c>
      <c r="AC76" s="32">
        <f>MIN(80,IF(AC5="Deploy",80,MAX(0,AC75-$B$80)))</f>
        <v>0</v>
      </c>
      <c r="AE76" s="86"/>
      <c r="AF76" s="86"/>
    </row>
    <row r="77" spans="1:46" ht="12.75" thickBot="1" x14ac:dyDescent="0.25">
      <c r="A77" s="127" t="s">
        <v>150</v>
      </c>
      <c r="B77" s="128">
        <f t="shared" ref="B77:AB77" si="42">MIN(60,IF(B13="Deploy",60,MAX(0,B75-$B$79)))</f>
        <v>0</v>
      </c>
      <c r="C77" s="129">
        <f t="shared" si="42"/>
        <v>0</v>
      </c>
      <c r="D77" s="129">
        <f t="shared" si="42"/>
        <v>0</v>
      </c>
      <c r="E77" s="129">
        <f t="shared" si="42"/>
        <v>0</v>
      </c>
      <c r="F77" s="129">
        <f t="shared" si="42"/>
        <v>0</v>
      </c>
      <c r="G77" s="129">
        <f t="shared" si="42"/>
        <v>0</v>
      </c>
      <c r="H77" s="129">
        <f t="shared" si="42"/>
        <v>0</v>
      </c>
      <c r="I77" s="129">
        <f t="shared" si="42"/>
        <v>0</v>
      </c>
      <c r="J77" s="129">
        <f t="shared" si="42"/>
        <v>0</v>
      </c>
      <c r="K77" s="129">
        <f t="shared" si="42"/>
        <v>19.696490919580647</v>
      </c>
      <c r="L77" s="129">
        <f t="shared" si="42"/>
        <v>44.696490919580647</v>
      </c>
      <c r="M77" s="129">
        <f t="shared" si="42"/>
        <v>49.696490919580647</v>
      </c>
      <c r="N77" s="129">
        <f t="shared" si="42"/>
        <v>49.696490919580647</v>
      </c>
      <c r="O77" s="129">
        <f t="shared" si="42"/>
        <v>49.696490919580647</v>
      </c>
      <c r="P77" s="129">
        <f t="shared" si="42"/>
        <v>49.696490919580647</v>
      </c>
      <c r="Q77" s="129">
        <f t="shared" si="42"/>
        <v>49.696490919580647</v>
      </c>
      <c r="R77" s="129">
        <f t="shared" si="42"/>
        <v>60</v>
      </c>
      <c r="S77" s="129">
        <f t="shared" si="42"/>
        <v>60</v>
      </c>
      <c r="T77" s="129">
        <f t="shared" si="42"/>
        <v>60</v>
      </c>
      <c r="U77" s="129">
        <f t="shared" si="42"/>
        <v>60</v>
      </c>
      <c r="V77" s="129">
        <f t="shared" si="42"/>
        <v>60</v>
      </c>
      <c r="W77" s="129">
        <f t="shared" si="42"/>
        <v>60</v>
      </c>
      <c r="X77" s="129">
        <f t="shared" si="42"/>
        <v>53.696490919580647</v>
      </c>
      <c r="Y77" s="129">
        <f t="shared" si="42"/>
        <v>48.696490919580647</v>
      </c>
      <c r="Z77" s="129">
        <f t="shared" si="42"/>
        <v>48.363157586247318</v>
      </c>
      <c r="AA77" s="129">
        <f t="shared" si="42"/>
        <v>43.696490919580647</v>
      </c>
      <c r="AB77" s="130">
        <f t="shared" si="42"/>
        <v>24.696490919580647</v>
      </c>
      <c r="AC77" s="34">
        <f>MIN(60,IF(AC6="Deploy",60,MAX(0,AC75-$B$79)))</f>
        <v>0</v>
      </c>
      <c r="AE77" s="86"/>
      <c r="AF77" s="86"/>
    </row>
    <row r="78" spans="1:46" s="15" customFormat="1" ht="12.75" thickBot="1" x14ac:dyDescent="0.25">
      <c r="A78" s="217" t="s">
        <v>151</v>
      </c>
      <c r="B78" s="218">
        <v>37</v>
      </c>
      <c r="C78" s="218">
        <v>37</v>
      </c>
      <c r="D78" s="218">
        <v>37</v>
      </c>
      <c r="E78" s="218">
        <v>37</v>
      </c>
      <c r="F78" s="218">
        <v>37</v>
      </c>
      <c r="G78" s="218">
        <v>37</v>
      </c>
      <c r="H78" s="218">
        <v>46</v>
      </c>
      <c r="I78" s="218">
        <v>54</v>
      </c>
      <c r="J78" s="218">
        <v>61</v>
      </c>
      <c r="K78" s="218">
        <v>63</v>
      </c>
      <c r="L78" s="218">
        <v>75</v>
      </c>
      <c r="M78" s="218">
        <v>85</v>
      </c>
      <c r="N78" s="218">
        <v>85</v>
      </c>
      <c r="O78" s="218">
        <v>85</v>
      </c>
      <c r="P78" s="218">
        <v>85</v>
      </c>
      <c r="Q78" s="218">
        <v>85</v>
      </c>
      <c r="R78" s="218">
        <v>100</v>
      </c>
      <c r="S78" s="218">
        <v>100</v>
      </c>
      <c r="T78" s="218">
        <v>100</v>
      </c>
      <c r="U78" s="218">
        <v>100</v>
      </c>
      <c r="V78" s="218">
        <v>100</v>
      </c>
      <c r="W78" s="218">
        <v>100</v>
      </c>
      <c r="X78" s="218">
        <v>94</v>
      </c>
      <c r="Y78" s="218">
        <v>91</v>
      </c>
      <c r="Z78" s="218">
        <v>85</v>
      </c>
      <c r="AA78" s="218">
        <v>84</v>
      </c>
      <c r="AB78" s="219">
        <v>81</v>
      </c>
      <c r="AC78" s="220">
        <v>37</v>
      </c>
    </row>
    <row r="79" spans="1:46" x14ac:dyDescent="0.2">
      <c r="A79" s="131" t="s">
        <v>152</v>
      </c>
      <c r="B79" s="132">
        <f t="array" ref="B79">SQRT(SUM(POWER(AVERAGE(B75:AB75)-(B75:AB75),2))/COUNT(B75:AB75))*1</f>
        <v>35.303509080419353</v>
      </c>
      <c r="AE79" s="86"/>
      <c r="AF79" s="86"/>
    </row>
    <row r="80" spans="1:46" ht="12" thickBot="1" x14ac:dyDescent="0.25">
      <c r="A80" s="133" t="s">
        <v>153</v>
      </c>
      <c r="B80" s="134">
        <f>B79/2</f>
        <v>17.651754540209676</v>
      </c>
      <c r="AE80" s="86"/>
      <c r="AF80" s="86"/>
    </row>
    <row r="81" spans="1:32" ht="12" thickBot="1" x14ac:dyDescent="0.25">
      <c r="AE81" s="86"/>
      <c r="AF81" s="86"/>
    </row>
    <row r="82" spans="1:32" ht="13.5" thickBot="1" x14ac:dyDescent="0.25">
      <c r="A82" s="475" t="s">
        <v>154</v>
      </c>
      <c r="B82" s="476"/>
      <c r="AE82" s="86"/>
      <c r="AF82" s="86"/>
    </row>
    <row r="83" spans="1:32" ht="12.75" thickBot="1" x14ac:dyDescent="0.25">
      <c r="A83" s="477" t="s">
        <v>155</v>
      </c>
      <c r="B83" s="478"/>
      <c r="AE83" s="86"/>
      <c r="AF83" s="86"/>
    </row>
    <row r="84" spans="1:32" ht="12.75" thickTop="1" x14ac:dyDescent="0.2">
      <c r="A84" s="135" t="s">
        <v>137</v>
      </c>
      <c r="B84" s="136">
        <v>12</v>
      </c>
      <c r="AE84" s="86"/>
      <c r="AF84" s="86"/>
    </row>
    <row r="85" spans="1:32" ht="12" x14ac:dyDescent="0.2">
      <c r="A85" s="137" t="s">
        <v>138</v>
      </c>
      <c r="B85" s="138">
        <v>10</v>
      </c>
      <c r="AE85" s="86"/>
      <c r="AF85" s="86"/>
    </row>
    <row r="86" spans="1:32" ht="12" x14ac:dyDescent="0.2">
      <c r="A86" s="135" t="s">
        <v>139</v>
      </c>
      <c r="B86" s="136">
        <v>18</v>
      </c>
      <c r="AE86" s="86"/>
      <c r="AF86" s="86"/>
    </row>
    <row r="87" spans="1:32" ht="12" x14ac:dyDescent="0.2">
      <c r="A87" s="137" t="s">
        <v>140</v>
      </c>
      <c r="B87" s="138">
        <v>15</v>
      </c>
      <c r="AE87" s="86"/>
      <c r="AF87" s="86"/>
    </row>
    <row r="88" spans="1:32" ht="12" x14ac:dyDescent="0.2">
      <c r="A88" s="137" t="s">
        <v>156</v>
      </c>
      <c r="B88" s="138">
        <v>2</v>
      </c>
      <c r="AE88" s="86"/>
      <c r="AF88" s="86"/>
    </row>
    <row r="89" spans="1:32" ht="12" x14ac:dyDescent="0.2">
      <c r="A89" s="139" t="s">
        <v>157</v>
      </c>
      <c r="B89" s="140">
        <v>5</v>
      </c>
      <c r="AE89" s="86"/>
      <c r="AF89" s="86"/>
    </row>
    <row r="90" spans="1:32" ht="12" x14ac:dyDescent="0.2">
      <c r="A90" s="141" t="s">
        <v>158</v>
      </c>
      <c r="B90" s="142">
        <v>6</v>
      </c>
      <c r="AE90" s="86"/>
      <c r="AF90" s="86"/>
    </row>
    <row r="91" spans="1:32" ht="12" x14ac:dyDescent="0.2">
      <c r="A91" s="141" t="s">
        <v>159</v>
      </c>
      <c r="B91" s="142">
        <v>10</v>
      </c>
      <c r="AE91" s="86"/>
      <c r="AF91" s="86"/>
    </row>
    <row r="92" spans="1:32" ht="12" x14ac:dyDescent="0.2">
      <c r="A92" s="141" t="s">
        <v>160</v>
      </c>
      <c r="B92" s="142">
        <v>4</v>
      </c>
      <c r="AB92" s="143"/>
      <c r="AC92" s="143"/>
      <c r="AE92" s="86"/>
      <c r="AF92" s="86"/>
    </row>
    <row r="93" spans="1:32" ht="12" x14ac:dyDescent="0.2">
      <c r="A93" s="141" t="s">
        <v>161</v>
      </c>
      <c r="B93" s="142">
        <v>7</v>
      </c>
      <c r="AB93" s="143"/>
      <c r="AC93" s="143"/>
      <c r="AD93" s="117"/>
    </row>
    <row r="94" spans="1:32" ht="12" x14ac:dyDescent="0.2">
      <c r="A94" s="141" t="s">
        <v>162</v>
      </c>
      <c r="B94" s="142">
        <v>9</v>
      </c>
      <c r="AB94" s="143"/>
      <c r="AC94" s="143"/>
      <c r="AD94" s="117"/>
      <c r="AE94" s="116"/>
      <c r="AF94" s="116"/>
    </row>
    <row r="95" spans="1:32" ht="12" x14ac:dyDescent="0.2">
      <c r="A95" s="141" t="s">
        <v>163</v>
      </c>
      <c r="B95" s="142">
        <v>15</v>
      </c>
      <c r="AB95" s="143"/>
      <c r="AC95" s="143"/>
      <c r="AD95" s="117"/>
    </row>
    <row r="96" spans="1:32" ht="12" x14ac:dyDescent="0.2">
      <c r="A96" s="141" t="s">
        <v>164</v>
      </c>
      <c r="B96" s="142">
        <v>2</v>
      </c>
      <c r="AB96" s="143"/>
      <c r="AC96" s="143"/>
      <c r="AD96" s="117"/>
    </row>
    <row r="97" spans="1:37" ht="12.75" thickBot="1" x14ac:dyDescent="0.25">
      <c r="A97" s="144" t="s">
        <v>165</v>
      </c>
      <c r="B97" s="145">
        <v>6</v>
      </c>
      <c r="AB97" s="143"/>
      <c r="AC97" s="143"/>
      <c r="AD97" s="117"/>
    </row>
    <row r="98" spans="1:37" ht="12" thickBot="1" x14ac:dyDescent="0.25"/>
    <row r="99" spans="1:37" s="15" customFormat="1" ht="13.5" thickBot="1" x14ac:dyDescent="0.25">
      <c r="A99" s="475" t="s">
        <v>166</v>
      </c>
      <c r="B99" s="476"/>
      <c r="AJ99" s="16"/>
      <c r="AK99" s="16"/>
    </row>
    <row r="100" spans="1:37" s="15" customFormat="1" ht="12" x14ac:dyDescent="0.2">
      <c r="A100" s="17" t="s">
        <v>167</v>
      </c>
      <c r="B100" s="18" t="s">
        <v>168</v>
      </c>
      <c r="C100" s="18" t="s">
        <v>168</v>
      </c>
      <c r="D100" s="18" t="s">
        <v>168</v>
      </c>
      <c r="E100" s="18"/>
      <c r="F100" s="18" t="s">
        <v>168</v>
      </c>
      <c r="G100" s="18" t="s">
        <v>168</v>
      </c>
      <c r="H100" s="18" t="s">
        <v>168</v>
      </c>
      <c r="I100" s="18" t="s">
        <v>168</v>
      </c>
      <c r="J100" s="18"/>
      <c r="K100" s="18"/>
      <c r="L100" s="18"/>
      <c r="M100" s="18"/>
      <c r="N100" s="18" t="s">
        <v>168</v>
      </c>
      <c r="O100" s="18" t="s">
        <v>168</v>
      </c>
      <c r="P100" s="18"/>
      <c r="Q100" s="18"/>
      <c r="R100" s="18"/>
      <c r="S100" s="18"/>
      <c r="T100" s="18"/>
      <c r="U100" s="18"/>
      <c r="V100" s="18"/>
      <c r="W100" s="18"/>
      <c r="X100" s="18"/>
      <c r="Y100" s="18" t="s">
        <v>168</v>
      </c>
      <c r="Z100" s="18" t="s">
        <v>168</v>
      </c>
      <c r="AA100" s="18" t="s">
        <v>168</v>
      </c>
      <c r="AB100" s="18" t="s">
        <v>168</v>
      </c>
      <c r="AC100" s="19" t="s">
        <v>168</v>
      </c>
    </row>
    <row r="101" spans="1:37" s="15" customFormat="1" ht="12.75" thickBot="1" x14ac:dyDescent="0.25">
      <c r="A101" s="20" t="s">
        <v>169</v>
      </c>
      <c r="B101" s="21"/>
      <c r="C101" s="21"/>
      <c r="D101" s="21"/>
      <c r="E101" s="21"/>
      <c r="F101" s="21"/>
      <c r="G101" s="21"/>
      <c r="H101" s="21"/>
      <c r="I101" s="21"/>
      <c r="J101" s="21" t="s">
        <v>168</v>
      </c>
      <c r="K101" s="21"/>
      <c r="L101" s="21" t="s">
        <v>168</v>
      </c>
      <c r="M101" s="21" t="s">
        <v>168</v>
      </c>
      <c r="N101" s="21"/>
      <c r="O101" s="21"/>
      <c r="P101" s="21" t="s">
        <v>168</v>
      </c>
      <c r="Q101" s="21"/>
      <c r="R101" s="21" t="s">
        <v>168</v>
      </c>
      <c r="S101" s="21" t="s">
        <v>168</v>
      </c>
      <c r="T101" s="21" t="s">
        <v>168</v>
      </c>
      <c r="U101" s="21" t="s">
        <v>168</v>
      </c>
      <c r="V101" s="21" t="s">
        <v>168</v>
      </c>
      <c r="W101" s="21" t="s">
        <v>168</v>
      </c>
      <c r="X101" s="21"/>
      <c r="Y101" s="21"/>
      <c r="Z101" s="21"/>
      <c r="AA101" s="21"/>
      <c r="AB101" s="21"/>
      <c r="AC101" s="22"/>
    </row>
    <row r="102" spans="1:37" s="211" customFormat="1" ht="12.75" thickBot="1" x14ac:dyDescent="0.25">
      <c r="A102" s="15"/>
      <c r="B102" s="15"/>
      <c r="C102" s="15"/>
      <c r="D102" s="15"/>
      <c r="E102" s="15"/>
      <c r="F102" s="15"/>
      <c r="G102" s="15"/>
      <c r="H102" s="15"/>
    </row>
    <row r="103" spans="1:37" s="211" customFormat="1" ht="12.75" x14ac:dyDescent="0.2">
      <c r="A103" s="212" t="s">
        <v>170</v>
      </c>
      <c r="B103" s="486" t="s">
        <v>171</v>
      </c>
      <c r="C103" s="486"/>
      <c r="D103" s="487" t="s">
        <v>172</v>
      </c>
      <c r="E103" s="487"/>
      <c r="F103" s="488" t="s">
        <v>173</v>
      </c>
      <c r="G103" s="489"/>
      <c r="H103" s="15"/>
      <c r="I103" s="62" t="s">
        <v>174</v>
      </c>
    </row>
    <row r="104" spans="1:37" s="211" customFormat="1" ht="12.75" x14ac:dyDescent="0.2">
      <c r="A104" s="213" t="s">
        <v>175</v>
      </c>
      <c r="B104" s="199"/>
      <c r="C104" s="199"/>
      <c r="D104" s="199"/>
      <c r="E104" s="199"/>
      <c r="F104" s="199"/>
      <c r="G104" s="200"/>
      <c r="H104" s="15"/>
      <c r="I104" s="62" t="s">
        <v>46</v>
      </c>
    </row>
    <row r="105" spans="1:37" s="211" customFormat="1" ht="12" x14ac:dyDescent="0.2">
      <c r="A105" s="201" t="s">
        <v>176</v>
      </c>
      <c r="B105" s="202">
        <v>5</v>
      </c>
      <c r="C105" s="202">
        <v>5</v>
      </c>
      <c r="D105" s="203">
        <v>4</v>
      </c>
      <c r="E105" s="203">
        <v>4</v>
      </c>
      <c r="F105" s="204">
        <v>3</v>
      </c>
      <c r="G105" s="214">
        <v>0</v>
      </c>
      <c r="H105" s="15"/>
    </row>
    <row r="106" spans="1:37" s="211" customFormat="1" ht="12" x14ac:dyDescent="0.2">
      <c r="A106" s="201" t="s">
        <v>177</v>
      </c>
      <c r="B106" s="202">
        <v>5</v>
      </c>
      <c r="C106" s="202">
        <v>4</v>
      </c>
      <c r="D106" s="203">
        <v>3</v>
      </c>
      <c r="E106" s="203">
        <v>3</v>
      </c>
      <c r="F106" s="204">
        <v>2</v>
      </c>
      <c r="G106" s="214">
        <v>0</v>
      </c>
      <c r="H106" s="15"/>
    </row>
    <row r="107" spans="1:37" s="211" customFormat="1" ht="12" x14ac:dyDescent="0.2">
      <c r="A107" s="213" t="s">
        <v>127</v>
      </c>
      <c r="B107" s="209"/>
      <c r="C107" s="210"/>
      <c r="D107" s="210"/>
      <c r="E107" s="210"/>
      <c r="F107" s="210"/>
      <c r="G107" s="216"/>
      <c r="H107" s="15"/>
    </row>
    <row r="108" spans="1:37" s="211" customFormat="1" ht="12" x14ac:dyDescent="0.2">
      <c r="A108" s="201" t="str">
        <f t="shared" ref="A108:A115" si="43">A39</f>
        <v>Ready E-2D Air Defense Mission Systems (C)</v>
      </c>
      <c r="B108" s="202">
        <v>5</v>
      </c>
      <c r="C108" s="202">
        <v>4</v>
      </c>
      <c r="D108" s="203">
        <v>3</v>
      </c>
      <c r="E108" s="203">
        <v>3</v>
      </c>
      <c r="F108" s="204">
        <v>2</v>
      </c>
      <c r="G108" s="214">
        <v>0</v>
      </c>
      <c r="H108" s="15"/>
    </row>
    <row r="109" spans="1:37" s="211" customFormat="1" ht="12" x14ac:dyDescent="0.2">
      <c r="A109" s="201" t="str">
        <f t="shared" si="43"/>
        <v>Ready E-2D Advanced Navigation Systems (D)</v>
      </c>
      <c r="B109" s="202">
        <v>5</v>
      </c>
      <c r="C109" s="202">
        <v>4</v>
      </c>
      <c r="D109" s="203">
        <v>3</v>
      </c>
      <c r="E109" s="203">
        <v>3</v>
      </c>
      <c r="F109" s="204">
        <v>2</v>
      </c>
      <c r="G109" s="214">
        <v>0</v>
      </c>
      <c r="H109" s="15"/>
    </row>
    <row r="110" spans="1:37" s="211" customFormat="1" ht="12" x14ac:dyDescent="0.2">
      <c r="A110" s="201" t="str">
        <f t="shared" si="43"/>
        <v>Ready E-2D Electronic Warfare Mission Systems (E)</v>
      </c>
      <c r="B110" s="202">
        <v>5</v>
      </c>
      <c r="C110" s="202">
        <v>4</v>
      </c>
      <c r="D110" s="203">
        <v>3</v>
      </c>
      <c r="E110" s="203">
        <v>3</v>
      </c>
      <c r="F110" s="204">
        <v>2</v>
      </c>
      <c r="G110" s="214">
        <v>0</v>
      </c>
      <c r="H110" s="15"/>
    </row>
    <row r="111" spans="1:37" s="211" customFormat="1" ht="12" x14ac:dyDescent="0.2">
      <c r="A111" s="201" t="str">
        <f t="shared" si="43"/>
        <v>Ready E-2D Tactical Communication Mission Systems (F)</v>
      </c>
      <c r="B111" s="202">
        <v>5</v>
      </c>
      <c r="C111" s="202">
        <v>4</v>
      </c>
      <c r="D111" s="203">
        <v>3</v>
      </c>
      <c r="E111" s="203">
        <v>3</v>
      </c>
      <c r="F111" s="204">
        <v>2</v>
      </c>
      <c r="G111" s="214">
        <v>0</v>
      </c>
      <c r="H111" s="15"/>
    </row>
    <row r="112" spans="1:37" s="211" customFormat="1" ht="12" x14ac:dyDescent="0.2">
      <c r="A112" s="201" t="str">
        <f t="shared" si="43"/>
        <v>Ready E-2D Aerial Refueling Mission Systems (G)</v>
      </c>
      <c r="B112" s="202">
        <v>5</v>
      </c>
      <c r="C112" s="202">
        <v>4</v>
      </c>
      <c r="D112" s="203">
        <v>3</v>
      </c>
      <c r="E112" s="203">
        <v>3</v>
      </c>
      <c r="F112" s="204">
        <v>2</v>
      </c>
      <c r="G112" s="214">
        <v>0</v>
      </c>
      <c r="H112" s="15"/>
    </row>
    <row r="113" spans="1:8" s="211" customFormat="1" ht="12" x14ac:dyDescent="0.2">
      <c r="A113" s="201" t="str">
        <f t="shared" si="43"/>
        <v>Ready E-2D Basic ACC Mission Systems (J)</v>
      </c>
      <c r="B113" s="202">
        <v>5</v>
      </c>
      <c r="C113" s="202">
        <v>4</v>
      </c>
      <c r="D113" s="203">
        <v>3</v>
      </c>
      <c r="E113" s="203">
        <v>3</v>
      </c>
      <c r="F113" s="204">
        <v>2</v>
      </c>
      <c r="G113" s="214">
        <v>0</v>
      </c>
      <c r="H113" s="15"/>
    </row>
    <row r="114" spans="1:8" s="211" customFormat="1" ht="12" x14ac:dyDescent="0.2">
      <c r="A114" s="201" t="str">
        <f t="shared" si="43"/>
        <v>Ready E-2D Shipboard Mission Systems (K)</v>
      </c>
      <c r="B114" s="202">
        <v>5</v>
      </c>
      <c r="C114" s="202">
        <v>4</v>
      </c>
      <c r="D114" s="203">
        <v>3</v>
      </c>
      <c r="E114" s="203">
        <v>3</v>
      </c>
      <c r="F114" s="204">
        <v>2</v>
      </c>
      <c r="G114" s="214">
        <v>0</v>
      </c>
      <c r="H114" s="15"/>
    </row>
    <row r="115" spans="1:8" s="211" customFormat="1" ht="12.75" thickBot="1" x14ac:dyDescent="0.25">
      <c r="A115" s="205" t="str">
        <f t="shared" si="43"/>
        <v>Ready E-2D IMC Flight Mission Systems (L)</v>
      </c>
      <c r="B115" s="206">
        <v>5</v>
      </c>
      <c r="C115" s="206">
        <v>4</v>
      </c>
      <c r="D115" s="207">
        <v>3</v>
      </c>
      <c r="E115" s="207">
        <v>3</v>
      </c>
      <c r="F115" s="208">
        <v>2</v>
      </c>
      <c r="G115" s="215">
        <v>0</v>
      </c>
      <c r="H115" s="15"/>
    </row>
    <row r="121" spans="1:8" x14ac:dyDescent="0.2">
      <c r="A121" s="395" t="s">
        <v>178</v>
      </c>
      <c r="B121" s="86" t="s">
        <v>179</v>
      </c>
    </row>
    <row r="122" spans="1:8" x14ac:dyDescent="0.2">
      <c r="A122" s="396" t="s">
        <v>180</v>
      </c>
      <c r="B122" s="397">
        <f>HLOOKUP($B$121,'E-2 Mission System Summary'!$B$1:$F$14,2,FALSE)</f>
        <v>0.85538791677986536</v>
      </c>
      <c r="D122" s="398"/>
      <c r="E122" s="166"/>
      <c r="G122" s="398"/>
    </row>
    <row r="123" spans="1:8" x14ac:dyDescent="0.2">
      <c r="A123" s="396" t="str">
        <f t="shared" ref="A123:A130" si="44">A39</f>
        <v>Ready E-2D Air Defense Mission Systems (C)</v>
      </c>
      <c r="B123" s="397">
        <f>HLOOKUP($B$121,'E-2 Mission System Summary'!$B$1:$F$14,3,FALSE)</f>
        <v>0.78402203305274454</v>
      </c>
      <c r="D123" s="398"/>
      <c r="E123" s="166"/>
      <c r="G123" s="398"/>
    </row>
    <row r="124" spans="1:8" x14ac:dyDescent="0.2">
      <c r="A124" s="396" t="str">
        <f t="shared" si="44"/>
        <v>Ready E-2D Advanced Navigation Systems (D)</v>
      </c>
      <c r="B124" s="397">
        <f>HLOOKUP($B$121,'E-2 Mission System Summary'!$B$1:$F$14,4,FALSE)</f>
        <v>0.39899536816084674</v>
      </c>
      <c r="D124" s="398"/>
      <c r="E124" s="166"/>
      <c r="G124" s="398"/>
    </row>
    <row r="125" spans="1:8" x14ac:dyDescent="0.2">
      <c r="A125" s="396" t="str">
        <f t="shared" si="44"/>
        <v>Ready E-2D Electronic Warfare Mission Systems (E)</v>
      </c>
      <c r="B125" s="397">
        <f>HLOOKUP($B$121,'E-2 Mission System Summary'!$B$1:$F$14,5,FALSE)</f>
        <v>0.78214171728685156</v>
      </c>
      <c r="D125" s="398"/>
      <c r="E125" s="166"/>
      <c r="G125" s="398"/>
    </row>
    <row r="126" spans="1:8" x14ac:dyDescent="0.2">
      <c r="A126" s="396" t="str">
        <f t="shared" si="44"/>
        <v>Ready E-2D Tactical Communication Mission Systems (F)</v>
      </c>
      <c r="B126" s="397">
        <f>HLOOKUP($B$121,'E-2 Mission System Summary'!$B$1:$F$14,6,FALSE)</f>
        <v>0.77838108575506537</v>
      </c>
      <c r="D126" s="398"/>
      <c r="E126" s="166"/>
      <c r="G126" s="398"/>
    </row>
    <row r="127" spans="1:8" x14ac:dyDescent="0.2">
      <c r="A127" s="396" t="str">
        <f t="shared" si="44"/>
        <v>Ready E-2D Aerial Refueling Mission Systems (G)</v>
      </c>
      <c r="B127" s="397">
        <f>HLOOKUP($B$121,'E-2 Mission System Summary'!$B$1:$F$14,7,FALSE)</f>
        <v>0.39899536816084674</v>
      </c>
      <c r="D127" s="398"/>
      <c r="E127" s="166"/>
      <c r="G127" s="398"/>
    </row>
    <row r="128" spans="1:8" x14ac:dyDescent="0.2">
      <c r="A128" s="396" t="str">
        <f t="shared" si="44"/>
        <v>Ready E-2D Basic ACC Mission Systems (J)</v>
      </c>
      <c r="B128" s="397">
        <f>HLOOKUP($B$121,'E-2 Mission System Summary'!$B$1:$F$14,8,FALSE)</f>
        <v>0.78402203305274454</v>
      </c>
      <c r="D128" s="398"/>
      <c r="E128" s="166"/>
      <c r="G128" s="398"/>
    </row>
    <row r="129" spans="1:7" x14ac:dyDescent="0.2">
      <c r="A129" s="396" t="str">
        <f t="shared" si="44"/>
        <v>Ready E-2D Shipboard Mission Systems (K)</v>
      </c>
      <c r="B129" s="397">
        <f>HLOOKUP($B$121,'E-2 Mission System Summary'!$B$1:$F$14,9,FALSE)</f>
        <v>0.39899536816084674</v>
      </c>
      <c r="D129" s="398"/>
      <c r="E129" s="166"/>
      <c r="G129" s="398"/>
    </row>
    <row r="130" spans="1:7" x14ac:dyDescent="0.2">
      <c r="A130" s="396" t="str">
        <f t="shared" si="44"/>
        <v>Ready E-2D IMC Flight Mission Systems (L)</v>
      </c>
      <c r="B130" s="397">
        <f>HLOOKUP($B$121,'E-2 Mission System Summary'!$B$1:$F$14,10,FALSE)</f>
        <v>1</v>
      </c>
      <c r="D130" s="398"/>
      <c r="E130" s="166"/>
      <c r="G130" s="398"/>
    </row>
    <row r="131" spans="1:7" x14ac:dyDescent="0.2">
      <c r="E131" s="166"/>
    </row>
  </sheetData>
  <dataConsolidate/>
  <mergeCells count="15">
    <mergeCell ref="M1:P1"/>
    <mergeCell ref="K16:M16"/>
    <mergeCell ref="B103:C103"/>
    <mergeCell ref="D103:E103"/>
    <mergeCell ref="F103:G103"/>
    <mergeCell ref="A99:B99"/>
    <mergeCell ref="A1:D1"/>
    <mergeCell ref="X16:AB16"/>
    <mergeCell ref="A72:AC72"/>
    <mergeCell ref="A82:B82"/>
    <mergeCell ref="A83:B83"/>
    <mergeCell ref="N16:Q16"/>
    <mergeCell ref="R16:W16"/>
    <mergeCell ref="B16:G16"/>
    <mergeCell ref="H16:J16"/>
  </mergeCells>
  <conditionalFormatting sqref="D105">
    <cfRule type="cellIs" dxfId="77" priority="29" operator="equal">
      <formula>C105</formula>
    </cfRule>
  </conditionalFormatting>
  <conditionalFormatting sqref="E105:E106">
    <cfRule type="cellIs" dxfId="76" priority="28" operator="equal">
      <formula>D105</formula>
    </cfRule>
  </conditionalFormatting>
  <conditionalFormatting sqref="C105:C107 C109:C115">
    <cfRule type="cellIs" dxfId="75" priority="36" operator="equal">
      <formula>B105</formula>
    </cfRule>
  </conditionalFormatting>
  <conditionalFormatting sqref="D105:E107 D109:E115">
    <cfRule type="cellIs" dxfId="74" priority="35" operator="equal">
      <formula>C105</formula>
    </cfRule>
  </conditionalFormatting>
  <conditionalFormatting sqref="E105:E106">
    <cfRule type="cellIs" dxfId="73" priority="34" operator="equal">
      <formula>D105</formula>
    </cfRule>
  </conditionalFormatting>
  <conditionalFormatting sqref="F105">
    <cfRule type="cellIs" dxfId="72" priority="33" operator="equal">
      <formula>E105</formula>
    </cfRule>
  </conditionalFormatting>
  <conditionalFormatting sqref="F106:F107 F109:F115">
    <cfRule type="cellIs" dxfId="71" priority="31" operator="equal">
      <formula>G106</formula>
    </cfRule>
    <cfRule type="cellIs" dxfId="70" priority="32" operator="equal">
      <formula>E106</formula>
    </cfRule>
  </conditionalFormatting>
  <conditionalFormatting sqref="C105">
    <cfRule type="cellIs" dxfId="69" priority="30" operator="equal">
      <formula>B105</formula>
    </cfRule>
  </conditionalFormatting>
  <conditionalFormatting sqref="F105">
    <cfRule type="cellIs" dxfId="68" priority="27" operator="equal">
      <formula>E105</formula>
    </cfRule>
  </conditionalFormatting>
  <conditionalFormatting sqref="C105">
    <cfRule type="cellIs" dxfId="67" priority="26" operator="equal">
      <formula>B105</formula>
    </cfRule>
  </conditionalFormatting>
  <conditionalFormatting sqref="D105">
    <cfRule type="cellIs" dxfId="66" priority="25" operator="equal">
      <formula>C105</formula>
    </cfRule>
  </conditionalFormatting>
  <conditionalFormatting sqref="E105:E106">
    <cfRule type="cellIs" dxfId="65" priority="24" operator="equal">
      <formula>D105</formula>
    </cfRule>
  </conditionalFormatting>
  <conditionalFormatting sqref="F105">
    <cfRule type="cellIs" dxfId="64" priority="23" operator="equal">
      <formula>E105</formula>
    </cfRule>
  </conditionalFormatting>
  <conditionalFormatting sqref="C108">
    <cfRule type="cellIs" dxfId="63" priority="22" operator="equal">
      <formula>B108</formula>
    </cfRule>
  </conditionalFormatting>
  <conditionalFormatting sqref="D108:E108">
    <cfRule type="cellIs" dxfId="62" priority="21" operator="equal">
      <formula>C108</formula>
    </cfRule>
  </conditionalFormatting>
  <conditionalFormatting sqref="F108">
    <cfRule type="cellIs" dxfId="61" priority="19" operator="equal">
      <formula>G108</formula>
    </cfRule>
    <cfRule type="cellIs" dxfId="60" priority="20" operator="equal">
      <formula>E108</formula>
    </cfRule>
  </conditionalFormatting>
  <hyperlinks>
    <hyperlink ref="H1" location="Inventory!A1" display="Inventory" xr:uid="{00000000-0004-0000-0200-000000000000}"/>
    <hyperlink ref="I103" location="'VAW E-2D CVW DRRS(U)'!A1" display="Top" xr:uid="{00000000-0004-0000-0200-000001000000}"/>
    <hyperlink ref="H2" location="'VAW E-2D CVW DRRS(U)'!A117" display="AMFOM" xr:uid="{00000000-0004-0000-0200-000002000000}"/>
    <hyperlink ref="I104" location="Inventory!A1" display="Inventory" xr:uid="{00000000-0004-0000-0200-000003000000}"/>
  </hyperlinks>
  <printOptions horizontalCentered="1"/>
  <pageMargins left="0.5" right="0.5" top="0.52" bottom="1" header="0.5" footer="0.5"/>
  <pageSetup paperSize="267" scale="90" orientation="landscape" horizontalDpi="4294967293" r:id="rId1"/>
  <headerFooter alignWithMargins="0"/>
  <rowBreaks count="1" manualBreakCount="1">
    <brk id="70" max="29"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AF173"/>
  <sheetViews>
    <sheetView showGridLines="0" topLeftCell="A10" zoomScaleNormal="100" workbookViewId="0">
      <selection activeCell="I105" sqref="I105"/>
    </sheetView>
  </sheetViews>
  <sheetFormatPr defaultRowHeight="11.25" x14ac:dyDescent="0.2"/>
  <cols>
    <col min="1" max="1" width="44.5703125" style="86" bestFit="1" customWidth="1"/>
    <col min="2" max="13" width="5.7109375" style="86" customWidth="1"/>
    <col min="14" max="14" width="5.7109375" style="68" customWidth="1"/>
    <col min="15" max="15" width="6.28515625" style="68" customWidth="1"/>
    <col min="16" max="16" width="4.7109375" style="68" bestFit="1" customWidth="1"/>
    <col min="17" max="28" width="9.140625" style="86"/>
    <col min="29" max="29" width="5.7109375" style="86" customWidth="1"/>
    <col min="30" max="16384" width="9.140625" style="86"/>
  </cols>
  <sheetData>
    <row r="1" spans="1:29" s="61" customFormat="1" ht="18.75" x14ac:dyDescent="0.3">
      <c r="A1" s="494" t="s">
        <v>181</v>
      </c>
      <c r="B1" s="494"/>
      <c r="C1" s="494"/>
      <c r="D1" s="494"/>
      <c r="E1" s="146"/>
      <c r="F1" s="146"/>
      <c r="I1" s="62" t="s">
        <v>46</v>
      </c>
      <c r="J1" s="147"/>
      <c r="K1" s="147"/>
      <c r="L1" s="63" t="s">
        <v>47</v>
      </c>
      <c r="M1" s="483">
        <v>42278</v>
      </c>
      <c r="N1" s="483"/>
      <c r="AC1" s="64"/>
    </row>
    <row r="2" spans="1:29" s="68" customFormat="1" ht="15" x14ac:dyDescent="0.25">
      <c r="A2" s="148" t="s">
        <v>182</v>
      </c>
      <c r="B2" s="149">
        <v>4</v>
      </c>
      <c r="C2" s="150" t="s">
        <v>183</v>
      </c>
      <c r="D2" s="150"/>
      <c r="E2" s="150"/>
      <c r="F2" s="150"/>
      <c r="G2" s="67"/>
      <c r="H2" s="67"/>
      <c r="I2" s="223" t="s">
        <v>3</v>
      </c>
      <c r="J2" s="67"/>
      <c r="K2" s="67"/>
      <c r="AC2" s="67"/>
    </row>
    <row r="3" spans="1:29" s="68" customFormat="1" x14ac:dyDescent="0.2">
      <c r="A3" s="148" t="s">
        <v>50</v>
      </c>
      <c r="B3" s="151">
        <v>1.25</v>
      </c>
      <c r="C3" s="150"/>
      <c r="D3" s="150"/>
      <c r="E3" s="150"/>
      <c r="F3" s="150"/>
      <c r="G3" s="67"/>
      <c r="H3" s="69"/>
      <c r="I3" s="69"/>
      <c r="J3" s="69"/>
      <c r="K3" s="69"/>
      <c r="AC3" s="67"/>
    </row>
    <row r="4" spans="1:29" s="68" customFormat="1" x14ac:dyDescent="0.2">
      <c r="A4" s="148" t="s">
        <v>51</v>
      </c>
      <c r="B4" s="149">
        <f>ROUND(B2*B3,0)</f>
        <v>5</v>
      </c>
      <c r="C4" s="150"/>
      <c r="D4" s="150"/>
      <c r="E4" s="150"/>
      <c r="F4" s="150"/>
      <c r="G4" s="67"/>
      <c r="I4" s="67"/>
      <c r="J4" s="67"/>
      <c r="K4" s="67"/>
      <c r="AC4" s="67"/>
    </row>
    <row r="5" spans="1:29" s="68" customFormat="1" x14ac:dyDescent="0.2">
      <c r="A5" s="148" t="s">
        <v>52</v>
      </c>
      <c r="B5" s="150">
        <v>1.5</v>
      </c>
      <c r="C5" s="152"/>
      <c r="D5" s="150"/>
      <c r="E5" s="150"/>
      <c r="F5" s="150"/>
      <c r="G5" s="67"/>
      <c r="H5" s="67"/>
      <c r="I5" s="67"/>
      <c r="J5" s="67"/>
      <c r="K5" s="67"/>
      <c r="AC5" s="67"/>
    </row>
    <row r="6" spans="1:29" s="68" customFormat="1" x14ac:dyDescent="0.2">
      <c r="A6" s="153" t="s">
        <v>53</v>
      </c>
      <c r="B6" s="150">
        <v>27.5</v>
      </c>
      <c r="C6" s="152"/>
      <c r="D6" s="150"/>
      <c r="E6" s="150"/>
      <c r="F6" s="150"/>
      <c r="G6" s="67"/>
      <c r="H6" s="67"/>
      <c r="I6" s="67"/>
      <c r="J6" s="67"/>
      <c r="K6" s="67"/>
      <c r="L6" s="67"/>
      <c r="M6" s="67"/>
      <c r="AC6" s="67"/>
    </row>
    <row r="7" spans="1:29" s="68" customFormat="1" x14ac:dyDescent="0.2">
      <c r="A7" s="148" t="s">
        <v>54</v>
      </c>
      <c r="B7" s="150">
        <f>B6*B4</f>
        <v>137.5</v>
      </c>
      <c r="E7" s="150"/>
      <c r="F7" s="150"/>
      <c r="G7" s="67"/>
      <c r="H7" s="67"/>
      <c r="I7" s="67"/>
      <c r="J7" s="67"/>
      <c r="K7" s="67"/>
      <c r="L7" s="67"/>
      <c r="M7" s="67"/>
      <c r="AC7" s="67"/>
    </row>
    <row r="8" spans="1:29" s="68" customFormat="1" x14ac:dyDescent="0.2">
      <c r="A8" s="148" t="s">
        <v>55</v>
      </c>
      <c r="B8" s="149">
        <f>B7/B5</f>
        <v>91.666666666666671</v>
      </c>
      <c r="C8" s="150"/>
      <c r="E8" s="150"/>
      <c r="F8" s="150"/>
      <c r="G8" s="67"/>
      <c r="H8" s="67"/>
      <c r="I8" s="67"/>
      <c r="J8" s="67"/>
      <c r="K8" s="67"/>
      <c r="L8" s="67"/>
      <c r="M8" s="67"/>
      <c r="AC8" s="67"/>
    </row>
    <row r="9" spans="1:29" s="68" customFormat="1" x14ac:dyDescent="0.2">
      <c r="A9" s="148" t="s">
        <v>56</v>
      </c>
      <c r="B9" s="150">
        <f>B4*C9</f>
        <v>5</v>
      </c>
      <c r="C9" s="150">
        <v>1</v>
      </c>
      <c r="D9" s="69" t="s">
        <v>57</v>
      </c>
      <c r="E9" s="150"/>
      <c r="F9" s="150"/>
      <c r="G9" s="8" t="s">
        <v>58</v>
      </c>
      <c r="H9" s="9">
        <v>0.4</v>
      </c>
      <c r="I9" s="73"/>
      <c r="J9" s="73"/>
      <c r="K9" s="73"/>
      <c r="L9" s="73"/>
      <c r="M9" s="73"/>
      <c r="N9" s="74"/>
      <c r="O9" s="74"/>
      <c r="P9" s="74"/>
      <c r="AC9" s="73"/>
    </row>
    <row r="10" spans="1:29" s="68" customFormat="1" x14ac:dyDescent="0.2">
      <c r="A10" s="148" t="s">
        <v>59</v>
      </c>
      <c r="B10" s="150">
        <f>B4*C10</f>
        <v>110.5</v>
      </c>
      <c r="C10" s="150">
        <v>22.1</v>
      </c>
      <c r="D10" s="69" t="s">
        <v>57</v>
      </c>
      <c r="E10" s="150"/>
      <c r="F10" s="150"/>
      <c r="G10" s="10" t="s">
        <v>60</v>
      </c>
      <c r="H10" s="9">
        <v>0.40699999999999997</v>
      </c>
      <c r="I10" s="69"/>
      <c r="J10" s="69"/>
      <c r="K10" s="69"/>
      <c r="L10" s="69"/>
      <c r="M10" s="69"/>
      <c r="AC10" s="69"/>
    </row>
    <row r="11" spans="1:29" s="68" customFormat="1" x14ac:dyDescent="0.2">
      <c r="A11" s="181" t="s">
        <v>61</v>
      </c>
      <c r="B11" s="182">
        <f>C11*B4</f>
        <v>15</v>
      </c>
      <c r="C11" s="183">
        <v>3</v>
      </c>
      <c r="D11" s="184" t="s">
        <v>57</v>
      </c>
      <c r="E11" s="150"/>
      <c r="F11" s="150"/>
      <c r="G11" s="10"/>
      <c r="H11" s="9"/>
      <c r="I11" s="69"/>
      <c r="J11" s="69"/>
      <c r="K11" s="69"/>
      <c r="L11" s="69"/>
      <c r="M11" s="69"/>
      <c r="AC11" s="69"/>
    </row>
    <row r="12" spans="1:29" s="68" customFormat="1" x14ac:dyDescent="0.2">
      <c r="C12" s="75"/>
      <c r="D12" s="73"/>
      <c r="E12" s="73"/>
      <c r="F12" s="73"/>
      <c r="G12" s="73"/>
      <c r="H12" s="73"/>
      <c r="I12" s="73"/>
      <c r="J12" s="73"/>
      <c r="K12" s="73"/>
      <c r="L12" s="73"/>
      <c r="M12" s="73"/>
      <c r="AC12" s="73"/>
    </row>
    <row r="13" spans="1:29" s="79" customFormat="1" ht="59.25" x14ac:dyDescent="0.2">
      <c r="A13" s="76" t="s">
        <v>62</v>
      </c>
      <c r="B13" s="154" t="s">
        <v>68</v>
      </c>
      <c r="C13" s="154" t="s">
        <v>68</v>
      </c>
      <c r="D13" s="154" t="s">
        <v>69</v>
      </c>
      <c r="E13" s="154" t="s">
        <v>69</v>
      </c>
      <c r="F13" s="154" t="s">
        <v>69</v>
      </c>
      <c r="G13" s="154" t="s">
        <v>68</v>
      </c>
      <c r="H13" s="154" t="s">
        <v>68</v>
      </c>
      <c r="I13" s="154" t="s">
        <v>68</v>
      </c>
      <c r="J13" s="154" t="s">
        <v>69</v>
      </c>
      <c r="K13" s="154" t="s">
        <v>63</v>
      </c>
      <c r="L13" s="154" t="s">
        <v>63</v>
      </c>
      <c r="M13" s="155" t="s">
        <v>63</v>
      </c>
      <c r="N13" s="23" t="s">
        <v>70</v>
      </c>
    </row>
    <row r="14" spans="1:29" s="79" customFormat="1" ht="12" x14ac:dyDescent="0.2">
      <c r="A14" s="76" t="s">
        <v>71</v>
      </c>
      <c r="B14" s="156" t="s">
        <v>88</v>
      </c>
      <c r="C14" s="156" t="s">
        <v>89</v>
      </c>
      <c r="D14" s="156" t="s">
        <v>74</v>
      </c>
      <c r="E14" s="156" t="s">
        <v>75</v>
      </c>
      <c r="F14" s="156" t="s">
        <v>76</v>
      </c>
      <c r="G14" s="156" t="s">
        <v>90</v>
      </c>
      <c r="H14" s="156" t="s">
        <v>91</v>
      </c>
      <c r="I14" s="156" t="s">
        <v>92</v>
      </c>
      <c r="J14" s="156" t="s">
        <v>80</v>
      </c>
      <c r="K14" s="156" t="s">
        <v>81</v>
      </c>
      <c r="L14" s="156" t="s">
        <v>82</v>
      </c>
      <c r="M14" s="156" t="s">
        <v>83</v>
      </c>
      <c r="N14" s="24" t="s">
        <v>98</v>
      </c>
    </row>
    <row r="15" spans="1:29" s="79" customFormat="1" ht="12" x14ac:dyDescent="0.2">
      <c r="A15" s="76" t="s">
        <v>99</v>
      </c>
      <c r="B15" s="156">
        <v>1</v>
      </c>
      <c r="C15" s="156">
        <v>2</v>
      </c>
      <c r="D15" s="156">
        <v>3</v>
      </c>
      <c r="E15" s="156">
        <v>4</v>
      </c>
      <c r="F15" s="156">
        <v>5</v>
      </c>
      <c r="G15" s="156">
        <v>6</v>
      </c>
      <c r="H15" s="156">
        <v>7</v>
      </c>
      <c r="I15" s="156">
        <v>8</v>
      </c>
      <c r="J15" s="156">
        <v>9</v>
      </c>
      <c r="K15" s="156">
        <v>10</v>
      </c>
      <c r="L15" s="156">
        <v>11</v>
      </c>
      <c r="M15" s="156">
        <v>12</v>
      </c>
      <c r="N15" s="24">
        <v>28</v>
      </c>
    </row>
    <row r="16" spans="1:29" s="82" customFormat="1" ht="12" x14ac:dyDescent="0.2">
      <c r="A16" s="76" t="s">
        <v>100</v>
      </c>
      <c r="B16" s="495" t="s">
        <v>68</v>
      </c>
      <c r="C16" s="497"/>
      <c r="D16" s="495" t="s">
        <v>69</v>
      </c>
      <c r="E16" s="496"/>
      <c r="F16" s="497"/>
      <c r="G16" s="495" t="s">
        <v>68</v>
      </c>
      <c r="H16" s="496"/>
      <c r="I16" s="497"/>
      <c r="J16" s="156" t="s">
        <v>69</v>
      </c>
      <c r="K16" s="495" t="s">
        <v>184</v>
      </c>
      <c r="L16" s="496"/>
      <c r="M16" s="497"/>
      <c r="N16" s="24" t="s">
        <v>105</v>
      </c>
    </row>
    <row r="17" spans="1:28" ht="12.75" x14ac:dyDescent="0.2">
      <c r="A17" s="83" t="s">
        <v>106</v>
      </c>
      <c r="B17" s="84"/>
      <c r="C17" s="85"/>
      <c r="D17" s="85"/>
      <c r="E17" s="85"/>
      <c r="F17" s="85"/>
      <c r="G17" s="85"/>
      <c r="H17" s="85"/>
      <c r="I17" s="85"/>
      <c r="J17" s="85"/>
      <c r="K17" s="85"/>
      <c r="L17" s="85"/>
      <c r="M17" s="157"/>
      <c r="N17" s="25"/>
      <c r="Q17" s="158"/>
      <c r="R17" s="158"/>
      <c r="S17" s="158"/>
      <c r="T17" s="158"/>
      <c r="U17" s="158"/>
      <c r="V17" s="158"/>
      <c r="W17" s="158"/>
      <c r="X17" s="158"/>
      <c r="Y17" s="158"/>
      <c r="Z17" s="158"/>
      <c r="AA17" s="158"/>
      <c r="AB17" s="158"/>
    </row>
    <row r="18" spans="1:28" ht="12" x14ac:dyDescent="0.2">
      <c r="A18" s="36" t="s">
        <v>107</v>
      </c>
      <c r="B18" s="26">
        <f>IF(B72&lt;80,B73,MIN(B72,80))</f>
        <v>80</v>
      </c>
      <c r="C18" s="26">
        <f t="shared" ref="C18:N18" si="0">IF(C72&lt;80,C73,MIN(C72,80))</f>
        <v>80</v>
      </c>
      <c r="D18" s="26">
        <f t="shared" si="0"/>
        <v>80</v>
      </c>
      <c r="E18" s="26">
        <f t="shared" si="0"/>
        <v>80</v>
      </c>
      <c r="F18" s="26">
        <f t="shared" si="0"/>
        <v>80</v>
      </c>
      <c r="G18" s="26">
        <f t="shared" si="0"/>
        <v>80</v>
      </c>
      <c r="H18" s="26">
        <f t="shared" si="0"/>
        <v>80</v>
      </c>
      <c r="I18" s="26">
        <f t="shared" si="0"/>
        <v>80</v>
      </c>
      <c r="J18" s="26">
        <f t="shared" si="0"/>
        <v>80</v>
      </c>
      <c r="K18" s="26">
        <f t="shared" si="0"/>
        <v>80</v>
      </c>
      <c r="L18" s="26">
        <f t="shared" si="0"/>
        <v>80</v>
      </c>
      <c r="M18" s="26">
        <f t="shared" si="0"/>
        <v>80</v>
      </c>
      <c r="N18" s="26">
        <f t="shared" si="0"/>
        <v>25.098281988201322</v>
      </c>
      <c r="Q18" s="158"/>
      <c r="R18" s="158"/>
      <c r="S18" s="158"/>
      <c r="T18" s="158"/>
      <c r="U18" s="158"/>
      <c r="V18" s="158"/>
      <c r="W18" s="158"/>
      <c r="X18" s="158"/>
      <c r="Y18" s="158"/>
      <c r="Z18" s="158"/>
      <c r="AA18" s="158"/>
      <c r="AB18" s="158"/>
    </row>
    <row r="19" spans="1:28" ht="12" x14ac:dyDescent="0.2">
      <c r="A19" s="1" t="s">
        <v>108</v>
      </c>
      <c r="B19" s="194">
        <v>0.8</v>
      </c>
      <c r="C19" s="194">
        <v>0.8</v>
      </c>
      <c r="D19" s="194">
        <v>0.6</v>
      </c>
      <c r="E19" s="194">
        <v>0.75</v>
      </c>
      <c r="F19" s="194">
        <v>0.75</v>
      </c>
      <c r="G19" s="194">
        <v>0.8</v>
      </c>
      <c r="H19" s="194">
        <v>0.8</v>
      </c>
      <c r="I19" s="194">
        <v>0.8</v>
      </c>
      <c r="J19" s="194">
        <v>0.6</v>
      </c>
      <c r="K19" s="194">
        <v>0.75</v>
      </c>
      <c r="L19" s="194">
        <v>0.75</v>
      </c>
      <c r="M19" s="194">
        <v>0.75</v>
      </c>
      <c r="N19" s="27">
        <v>0.4</v>
      </c>
    </row>
    <row r="20" spans="1:28" ht="12" x14ac:dyDescent="0.2">
      <c r="A20" s="185" t="s">
        <v>109</v>
      </c>
      <c r="B20" s="196"/>
      <c r="C20" s="197"/>
      <c r="D20" s="197"/>
      <c r="E20" s="197"/>
      <c r="F20" s="197"/>
      <c r="G20" s="197"/>
      <c r="H20" s="197"/>
      <c r="I20" s="197"/>
      <c r="J20" s="197"/>
      <c r="K20" s="197"/>
      <c r="L20" s="197"/>
      <c r="M20" s="198"/>
      <c r="N20" s="188"/>
    </row>
    <row r="21" spans="1:28" ht="12" x14ac:dyDescent="0.2">
      <c r="A21" s="2" t="s">
        <v>110</v>
      </c>
      <c r="B21" s="195">
        <f t="shared" ref="B21:M21" si="1">B19*$B$8</f>
        <v>73.333333333333343</v>
      </c>
      <c r="C21" s="195">
        <f t="shared" si="1"/>
        <v>73.333333333333343</v>
      </c>
      <c r="D21" s="195">
        <f t="shared" si="1"/>
        <v>55</v>
      </c>
      <c r="E21" s="195">
        <f t="shared" si="1"/>
        <v>68.75</v>
      </c>
      <c r="F21" s="195">
        <f t="shared" si="1"/>
        <v>68.75</v>
      </c>
      <c r="G21" s="195">
        <f t="shared" si="1"/>
        <v>73.333333333333343</v>
      </c>
      <c r="H21" s="195">
        <f t="shared" si="1"/>
        <v>73.333333333333343</v>
      </c>
      <c r="I21" s="195">
        <f t="shared" si="1"/>
        <v>73.333333333333343</v>
      </c>
      <c r="J21" s="195">
        <f t="shared" si="1"/>
        <v>55</v>
      </c>
      <c r="K21" s="195">
        <f t="shared" si="1"/>
        <v>68.75</v>
      </c>
      <c r="L21" s="195">
        <f t="shared" si="1"/>
        <v>68.75</v>
      </c>
      <c r="M21" s="195">
        <f t="shared" si="1"/>
        <v>68.75</v>
      </c>
      <c r="N21" s="11">
        <f>N19*$B$8</f>
        <v>36.666666666666671</v>
      </c>
    </row>
    <row r="22" spans="1:28" ht="12" x14ac:dyDescent="0.2">
      <c r="A22" s="2" t="s">
        <v>111</v>
      </c>
      <c r="B22" s="4">
        <f t="shared" ref="B22:M22" si="2">B21*$B$5</f>
        <v>110.00000000000001</v>
      </c>
      <c r="C22" s="4">
        <f t="shared" si="2"/>
        <v>110.00000000000001</v>
      </c>
      <c r="D22" s="4">
        <f t="shared" si="2"/>
        <v>82.5</v>
      </c>
      <c r="E22" s="4">
        <f t="shared" si="2"/>
        <v>103.125</v>
      </c>
      <c r="F22" s="4">
        <f t="shared" si="2"/>
        <v>103.125</v>
      </c>
      <c r="G22" s="4">
        <f t="shared" si="2"/>
        <v>110.00000000000001</v>
      </c>
      <c r="H22" s="4">
        <f t="shared" si="2"/>
        <v>110.00000000000001</v>
      </c>
      <c r="I22" s="4">
        <f t="shared" si="2"/>
        <v>110.00000000000001</v>
      </c>
      <c r="J22" s="4">
        <f t="shared" si="2"/>
        <v>82.5</v>
      </c>
      <c r="K22" s="4">
        <f t="shared" si="2"/>
        <v>103.125</v>
      </c>
      <c r="L22" s="4">
        <f t="shared" si="2"/>
        <v>103.125</v>
      </c>
      <c r="M22" s="4">
        <f t="shared" si="2"/>
        <v>103.125</v>
      </c>
      <c r="N22" s="4">
        <f>N21*$B$5</f>
        <v>55.000000000000007</v>
      </c>
    </row>
    <row r="23" spans="1:28" ht="12" x14ac:dyDescent="0.2">
      <c r="A23" s="2" t="s">
        <v>112</v>
      </c>
      <c r="B23" s="13">
        <f>$B$9</f>
        <v>5</v>
      </c>
      <c r="C23" s="13">
        <f t="shared" ref="C23:M23" si="3">$B$9</f>
        <v>5</v>
      </c>
      <c r="D23" s="13">
        <f t="shared" si="3"/>
        <v>5</v>
      </c>
      <c r="E23" s="13">
        <f t="shared" si="3"/>
        <v>5</v>
      </c>
      <c r="F23" s="13">
        <f t="shared" si="3"/>
        <v>5</v>
      </c>
      <c r="G23" s="13">
        <f t="shared" si="3"/>
        <v>5</v>
      </c>
      <c r="H23" s="13">
        <f t="shared" si="3"/>
        <v>5</v>
      </c>
      <c r="I23" s="13">
        <f t="shared" si="3"/>
        <v>5</v>
      </c>
      <c r="J23" s="13">
        <f t="shared" si="3"/>
        <v>5</v>
      </c>
      <c r="K23" s="13">
        <f t="shared" si="3"/>
        <v>5</v>
      </c>
      <c r="L23" s="13">
        <f t="shared" si="3"/>
        <v>5</v>
      </c>
      <c r="M23" s="13">
        <f t="shared" si="3"/>
        <v>5</v>
      </c>
      <c r="N23" s="13">
        <f>$B$9</f>
        <v>5</v>
      </c>
    </row>
    <row r="24" spans="1:28" ht="12" x14ac:dyDescent="0.2">
      <c r="A24" s="2" t="s">
        <v>113</v>
      </c>
      <c r="B24" s="13">
        <f t="shared" ref="B24:M24" si="4">IF(ISBLANK(B98),0,$B$10)</f>
        <v>110.5</v>
      </c>
      <c r="C24" s="13">
        <f t="shared" si="4"/>
        <v>110.5</v>
      </c>
      <c r="D24" s="13">
        <f t="shared" si="4"/>
        <v>0</v>
      </c>
      <c r="E24" s="13">
        <f t="shared" si="4"/>
        <v>0</v>
      </c>
      <c r="F24" s="13">
        <f t="shared" si="4"/>
        <v>0</v>
      </c>
      <c r="G24" s="13">
        <f t="shared" si="4"/>
        <v>110.5</v>
      </c>
      <c r="H24" s="13">
        <f t="shared" si="4"/>
        <v>110.5</v>
      </c>
      <c r="I24" s="13">
        <f t="shared" si="4"/>
        <v>110.5</v>
      </c>
      <c r="J24" s="13">
        <f t="shared" si="4"/>
        <v>0</v>
      </c>
      <c r="K24" s="13">
        <f t="shared" si="4"/>
        <v>0</v>
      </c>
      <c r="L24" s="13">
        <f t="shared" si="4"/>
        <v>0</v>
      </c>
      <c r="M24" s="13">
        <f t="shared" si="4"/>
        <v>0</v>
      </c>
      <c r="N24" s="13">
        <f>IF(ISBLANK(#REF!),0,$B$10)</f>
        <v>110.5</v>
      </c>
    </row>
    <row r="25" spans="1:28" ht="12" x14ac:dyDescent="0.2">
      <c r="A25" s="2" t="s">
        <v>114</v>
      </c>
      <c r="B25" s="4">
        <f>B21*$B$5+SUM(B23:B24)</f>
        <v>225.5</v>
      </c>
      <c r="C25" s="4">
        <f t="shared" ref="C25:M25" si="5">C21*$B$5+SUM(C23:C24)</f>
        <v>225.5</v>
      </c>
      <c r="D25" s="4">
        <f t="shared" si="5"/>
        <v>87.5</v>
      </c>
      <c r="E25" s="4">
        <f t="shared" si="5"/>
        <v>108.125</v>
      </c>
      <c r="F25" s="4">
        <f t="shared" si="5"/>
        <v>108.125</v>
      </c>
      <c r="G25" s="4">
        <f t="shared" si="5"/>
        <v>225.5</v>
      </c>
      <c r="H25" s="4">
        <f t="shared" si="5"/>
        <v>225.5</v>
      </c>
      <c r="I25" s="4">
        <f t="shared" si="5"/>
        <v>225.5</v>
      </c>
      <c r="J25" s="4">
        <f t="shared" si="5"/>
        <v>87.5</v>
      </c>
      <c r="K25" s="4">
        <f t="shared" si="5"/>
        <v>108.125</v>
      </c>
      <c r="L25" s="4">
        <f t="shared" si="5"/>
        <v>108.125</v>
      </c>
      <c r="M25" s="4">
        <f t="shared" si="5"/>
        <v>108.125</v>
      </c>
      <c r="N25" s="4">
        <f>N21*$B$5+SUM(N23:N24)</f>
        <v>170.5</v>
      </c>
    </row>
    <row r="26" spans="1:28" ht="12" x14ac:dyDescent="0.2">
      <c r="A26" s="3" t="s">
        <v>115</v>
      </c>
      <c r="B26" s="5">
        <f t="shared" ref="B26:M26" si="6">-IF(ISBLANK(B97),0,MIN(B$22*$H$10,B$22-$B$7*$H$9))</f>
        <v>0</v>
      </c>
      <c r="C26" s="5">
        <f t="shared" si="6"/>
        <v>0</v>
      </c>
      <c r="D26" s="5">
        <f t="shared" si="6"/>
        <v>0</v>
      </c>
      <c r="E26" s="5">
        <f t="shared" si="6"/>
        <v>0</v>
      </c>
      <c r="F26" s="5">
        <f t="shared" si="6"/>
        <v>0</v>
      </c>
      <c r="G26" s="5">
        <f t="shared" si="6"/>
        <v>0</v>
      </c>
      <c r="H26" s="5">
        <f t="shared" si="6"/>
        <v>0</v>
      </c>
      <c r="I26" s="5">
        <f t="shared" si="6"/>
        <v>0</v>
      </c>
      <c r="J26" s="5">
        <f t="shared" si="6"/>
        <v>0</v>
      </c>
      <c r="K26" s="5">
        <f t="shared" si="6"/>
        <v>0</v>
      </c>
      <c r="L26" s="5">
        <f t="shared" si="6"/>
        <v>0</v>
      </c>
      <c r="M26" s="5">
        <f t="shared" si="6"/>
        <v>0</v>
      </c>
      <c r="N26" s="5">
        <f>-IF(ISBLANK(#REF!),0,MIN(N$22*$H$10,N$22-$B$7*$H$9))</f>
        <v>-7.1054273576010019E-15</v>
      </c>
    </row>
    <row r="27" spans="1:28" ht="12" x14ac:dyDescent="0.2">
      <c r="A27" s="2" t="s">
        <v>116</v>
      </c>
      <c r="B27" s="5">
        <f t="shared" ref="B27:M27" si="7">SUM(B25:B26)</f>
        <v>225.5</v>
      </c>
      <c r="C27" s="5">
        <f t="shared" si="7"/>
        <v>225.5</v>
      </c>
      <c r="D27" s="5">
        <f t="shared" si="7"/>
        <v>87.5</v>
      </c>
      <c r="E27" s="5">
        <f t="shared" si="7"/>
        <v>108.125</v>
      </c>
      <c r="F27" s="5">
        <f t="shared" si="7"/>
        <v>108.125</v>
      </c>
      <c r="G27" s="5">
        <f t="shared" si="7"/>
        <v>225.5</v>
      </c>
      <c r="H27" s="5">
        <f t="shared" si="7"/>
        <v>225.5</v>
      </c>
      <c r="I27" s="5">
        <f t="shared" si="7"/>
        <v>225.5</v>
      </c>
      <c r="J27" s="5">
        <f t="shared" si="7"/>
        <v>87.5</v>
      </c>
      <c r="K27" s="5">
        <f t="shared" si="7"/>
        <v>108.125</v>
      </c>
      <c r="L27" s="5">
        <f t="shared" si="7"/>
        <v>108.125</v>
      </c>
      <c r="M27" s="5">
        <f t="shared" si="7"/>
        <v>108.125</v>
      </c>
      <c r="N27" s="5">
        <f>SUM(N25:N26)</f>
        <v>170.5</v>
      </c>
    </row>
    <row r="28" spans="1:28" ht="12" x14ac:dyDescent="0.2">
      <c r="A28" s="3" t="s">
        <v>117</v>
      </c>
      <c r="B28" s="89">
        <f>AVERAGE(L25:M25,B25)</f>
        <v>147.25</v>
      </c>
      <c r="C28" s="89">
        <f>AVERAGE(M25,B25:C25)</f>
        <v>186.375</v>
      </c>
      <c r="D28" s="89">
        <f t="shared" ref="D28:M28" si="8">AVERAGE(B25:D25)</f>
        <v>179.5</v>
      </c>
      <c r="E28" s="89">
        <f t="shared" si="8"/>
        <v>140.375</v>
      </c>
      <c r="F28" s="89">
        <f t="shared" si="8"/>
        <v>101.25</v>
      </c>
      <c r="G28" s="89">
        <f t="shared" si="8"/>
        <v>147.25</v>
      </c>
      <c r="H28" s="89">
        <f t="shared" si="8"/>
        <v>186.375</v>
      </c>
      <c r="I28" s="89">
        <f t="shared" si="8"/>
        <v>225.5</v>
      </c>
      <c r="J28" s="89">
        <f t="shared" si="8"/>
        <v>179.5</v>
      </c>
      <c r="K28" s="89">
        <f t="shared" si="8"/>
        <v>140.375</v>
      </c>
      <c r="L28" s="89">
        <f t="shared" si="8"/>
        <v>101.25</v>
      </c>
      <c r="M28" s="89">
        <f t="shared" si="8"/>
        <v>108.125</v>
      </c>
      <c r="N28" s="5">
        <f>N27</f>
        <v>170.5</v>
      </c>
    </row>
    <row r="29" spans="1:28" ht="12" x14ac:dyDescent="0.2">
      <c r="A29" s="189" t="s">
        <v>118</v>
      </c>
      <c r="B29" s="6"/>
      <c r="C29" s="180"/>
      <c r="D29" s="180"/>
      <c r="E29" s="180"/>
      <c r="F29" s="180"/>
      <c r="G29" s="180"/>
      <c r="H29" s="180"/>
      <c r="I29" s="180"/>
      <c r="J29" s="180"/>
      <c r="K29" s="180"/>
      <c r="L29" s="180"/>
      <c r="M29" s="193"/>
      <c r="N29" s="192"/>
    </row>
    <row r="30" spans="1:28" ht="12" x14ac:dyDescent="0.2">
      <c r="A30" s="3" t="s">
        <v>119</v>
      </c>
      <c r="B30" s="5">
        <f t="shared" ref="B30:N30" si="9">IF(ISBLANK(B97),0,$B$11)</f>
        <v>0</v>
      </c>
      <c r="C30" s="5">
        <f t="shared" si="9"/>
        <v>0</v>
      </c>
      <c r="D30" s="5">
        <f t="shared" si="9"/>
        <v>0</v>
      </c>
      <c r="E30" s="5">
        <f t="shared" si="9"/>
        <v>0</v>
      </c>
      <c r="F30" s="5">
        <f t="shared" si="9"/>
        <v>0</v>
      </c>
      <c r="G30" s="5">
        <f t="shared" si="9"/>
        <v>0</v>
      </c>
      <c r="H30" s="5">
        <f t="shared" si="9"/>
        <v>0</v>
      </c>
      <c r="I30" s="5">
        <f t="shared" si="9"/>
        <v>0</v>
      </c>
      <c r="J30" s="5">
        <f t="shared" si="9"/>
        <v>0</v>
      </c>
      <c r="K30" s="5">
        <f t="shared" si="9"/>
        <v>0</v>
      </c>
      <c r="L30" s="5">
        <f t="shared" si="9"/>
        <v>0</v>
      </c>
      <c r="M30" s="5">
        <f t="shared" si="9"/>
        <v>0</v>
      </c>
      <c r="N30" s="4">
        <f t="shared" si="9"/>
        <v>15</v>
      </c>
    </row>
    <row r="31" spans="1:28" s="94" customFormat="1" ht="12.75" x14ac:dyDescent="0.2">
      <c r="A31" s="91" t="s">
        <v>120</v>
      </c>
      <c r="B31" s="88"/>
      <c r="C31" s="92"/>
      <c r="D31" s="92"/>
      <c r="E31" s="92"/>
      <c r="F31" s="92"/>
      <c r="G31" s="92"/>
      <c r="H31" s="92"/>
      <c r="I31" s="92"/>
      <c r="J31" s="92"/>
      <c r="K31" s="92"/>
      <c r="L31" s="92"/>
      <c r="M31" s="159"/>
      <c r="N31" s="28"/>
      <c r="O31" s="93"/>
      <c r="P31" s="93"/>
    </row>
    <row r="32" spans="1:28" s="94" customFormat="1" ht="12" x14ac:dyDescent="0.2">
      <c r="A32" s="76" t="s">
        <v>185</v>
      </c>
      <c r="B32" s="87">
        <v>1</v>
      </c>
      <c r="C32" s="87">
        <v>1</v>
      </c>
      <c r="D32" s="87">
        <v>1</v>
      </c>
      <c r="E32" s="87">
        <v>1</v>
      </c>
      <c r="F32" s="87">
        <v>1</v>
      </c>
      <c r="G32" s="87">
        <v>1</v>
      </c>
      <c r="H32" s="87">
        <v>1</v>
      </c>
      <c r="I32" s="87">
        <v>1</v>
      </c>
      <c r="J32" s="87">
        <v>1</v>
      </c>
      <c r="K32" s="87">
        <v>1</v>
      </c>
      <c r="L32" s="87">
        <v>1</v>
      </c>
      <c r="M32" s="87">
        <v>1</v>
      </c>
      <c r="N32" s="27">
        <v>1</v>
      </c>
      <c r="O32" s="93"/>
      <c r="P32" s="93"/>
    </row>
    <row r="33" spans="1:16" s="94" customFormat="1" ht="12" x14ac:dyDescent="0.2">
      <c r="A33" s="76" t="s">
        <v>186</v>
      </c>
      <c r="B33" s="31">
        <f>MIN(1,B21/MAX($B$21:$M$21))</f>
        <v>1</v>
      </c>
      <c r="C33" s="31">
        <f>MIN(1,C21/MAX($B$21:$M$21))</f>
        <v>1</v>
      </c>
      <c r="D33" s="31">
        <f>MIN(1,D21/MAX($B$21:$M$21))</f>
        <v>0.74999999999999989</v>
      </c>
      <c r="E33" s="31">
        <v>0.9</v>
      </c>
      <c r="F33" s="31">
        <v>0.9</v>
      </c>
      <c r="G33" s="31">
        <f>MIN(1,G21/MAX($B$21:$M$21))</f>
        <v>1</v>
      </c>
      <c r="H33" s="31">
        <f>MIN(1,H21/MAX($B$21:$M$21))</f>
        <v>1</v>
      </c>
      <c r="I33" s="31">
        <f>MIN(1,I21/MAX($B$21:$M$21))</f>
        <v>1</v>
      </c>
      <c r="J33" s="31">
        <f>MIN(1,J21/MAX($B$21:$M$21))</f>
        <v>0.74999999999999989</v>
      </c>
      <c r="K33" s="31">
        <v>0.9</v>
      </c>
      <c r="L33" s="31">
        <v>0.9</v>
      </c>
      <c r="M33" s="31">
        <v>0.9</v>
      </c>
      <c r="N33" s="29">
        <f>MIN(1,N19/MAX($B$19:$AB$19))</f>
        <v>0.5</v>
      </c>
      <c r="O33" s="93"/>
      <c r="P33" s="93"/>
    </row>
    <row r="34" spans="1:16" s="94" customFormat="1" ht="12" x14ac:dyDescent="0.2">
      <c r="A34" s="95" t="s">
        <v>187</v>
      </c>
      <c r="B34" s="87">
        <f t="shared" ref="B34:M34" si="10">IF(B73&lt;60,0.6,IF(AND(B73&gt;59,B73&lt;80),0.8,IF(B73&gt;79,0.9,0)))</f>
        <v>0.9</v>
      </c>
      <c r="C34" s="87">
        <f t="shared" si="10"/>
        <v>0.9</v>
      </c>
      <c r="D34" s="87">
        <f t="shared" si="10"/>
        <v>0.9</v>
      </c>
      <c r="E34" s="87">
        <f t="shared" si="10"/>
        <v>0.9</v>
      </c>
      <c r="F34" s="87">
        <f t="shared" si="10"/>
        <v>0.8</v>
      </c>
      <c r="G34" s="87">
        <f t="shared" si="10"/>
        <v>0.9</v>
      </c>
      <c r="H34" s="87">
        <f t="shared" si="10"/>
        <v>0.9</v>
      </c>
      <c r="I34" s="87">
        <f t="shared" si="10"/>
        <v>0.9</v>
      </c>
      <c r="J34" s="87">
        <f t="shared" si="10"/>
        <v>0.9</v>
      </c>
      <c r="K34" s="87">
        <f t="shared" si="10"/>
        <v>0.9</v>
      </c>
      <c r="L34" s="87">
        <f t="shared" si="10"/>
        <v>0.8</v>
      </c>
      <c r="M34" s="87">
        <f t="shared" si="10"/>
        <v>0.8</v>
      </c>
      <c r="N34" s="30">
        <f>IF(N72&lt;60,0.6,IF(AND(N72&gt;59,N72&lt;90),0.8,IF(N72&gt;90,0.9,0)))</f>
        <v>0.6</v>
      </c>
      <c r="O34" s="93"/>
      <c r="P34" s="93"/>
    </row>
    <row r="35" spans="1:16" s="94" customFormat="1" ht="12" x14ac:dyDescent="0.2">
      <c r="A35" s="76" t="s">
        <v>121</v>
      </c>
      <c r="B35" s="87">
        <f>B33</f>
        <v>1</v>
      </c>
      <c r="C35" s="87">
        <f>C33</f>
        <v>1</v>
      </c>
      <c r="D35" s="87">
        <f t="shared" ref="D35:M35" si="11">MIN(100%,MAX(D33,D34))</f>
        <v>0.9</v>
      </c>
      <c r="E35" s="87">
        <f t="shared" si="11"/>
        <v>0.9</v>
      </c>
      <c r="F35" s="87">
        <f t="shared" si="11"/>
        <v>0.9</v>
      </c>
      <c r="G35" s="87">
        <f t="shared" si="11"/>
        <v>1</v>
      </c>
      <c r="H35" s="87">
        <f t="shared" si="11"/>
        <v>1</v>
      </c>
      <c r="I35" s="87">
        <f t="shared" si="11"/>
        <v>1</v>
      </c>
      <c r="J35" s="87">
        <f t="shared" si="11"/>
        <v>0.9</v>
      </c>
      <c r="K35" s="87">
        <f t="shared" si="11"/>
        <v>0.9</v>
      </c>
      <c r="L35" s="87">
        <f t="shared" si="11"/>
        <v>0.9</v>
      </c>
      <c r="M35" s="87">
        <f t="shared" si="11"/>
        <v>0.9</v>
      </c>
      <c r="N35" s="27">
        <f>MIN(100%,MAX(N33:N34))</f>
        <v>0.6</v>
      </c>
      <c r="O35" s="93"/>
      <c r="P35" s="93"/>
    </row>
    <row r="36" spans="1:16" s="94" customFormat="1" ht="12" x14ac:dyDescent="0.2">
      <c r="A36" s="76" t="s">
        <v>188</v>
      </c>
      <c r="B36" s="96">
        <f t="shared" ref="B36:M36" si="12">0.75*B33</f>
        <v>0.75</v>
      </c>
      <c r="C36" s="96">
        <f t="shared" si="12"/>
        <v>0.75</v>
      </c>
      <c r="D36" s="96">
        <f t="shared" si="12"/>
        <v>0.56249999999999989</v>
      </c>
      <c r="E36" s="96">
        <f t="shared" si="12"/>
        <v>0.67500000000000004</v>
      </c>
      <c r="F36" s="96">
        <f t="shared" si="12"/>
        <v>0.67500000000000004</v>
      </c>
      <c r="G36" s="96">
        <f t="shared" si="12"/>
        <v>0.75</v>
      </c>
      <c r="H36" s="96">
        <f t="shared" si="12"/>
        <v>0.75</v>
      </c>
      <c r="I36" s="96">
        <f t="shared" si="12"/>
        <v>0.75</v>
      </c>
      <c r="J36" s="96">
        <f t="shared" si="12"/>
        <v>0.56249999999999989</v>
      </c>
      <c r="K36" s="96">
        <f t="shared" si="12"/>
        <v>0.67500000000000004</v>
      </c>
      <c r="L36" s="96">
        <f t="shared" si="12"/>
        <v>0.67500000000000004</v>
      </c>
      <c r="M36" s="96">
        <f t="shared" si="12"/>
        <v>0.67500000000000004</v>
      </c>
      <c r="N36" s="31">
        <f>0.75*N33</f>
        <v>0.375</v>
      </c>
      <c r="O36" s="93"/>
      <c r="P36" s="93"/>
    </row>
    <row r="37" spans="1:16" ht="12" x14ac:dyDescent="0.2">
      <c r="A37" s="97" t="s">
        <v>189</v>
      </c>
      <c r="B37" s="98">
        <f>ROUND(B32*$B$2,2)</f>
        <v>4</v>
      </c>
      <c r="C37" s="98">
        <f t="shared" ref="C37:M37" si="13">ROUND(C32*$B$2,2)</f>
        <v>4</v>
      </c>
      <c r="D37" s="98">
        <f t="shared" si="13"/>
        <v>4</v>
      </c>
      <c r="E37" s="98">
        <f t="shared" si="13"/>
        <v>4</v>
      </c>
      <c r="F37" s="98">
        <f t="shared" si="13"/>
        <v>4</v>
      </c>
      <c r="G37" s="98">
        <f t="shared" si="13"/>
        <v>4</v>
      </c>
      <c r="H37" s="98">
        <f t="shared" si="13"/>
        <v>4</v>
      </c>
      <c r="I37" s="98">
        <f t="shared" si="13"/>
        <v>4</v>
      </c>
      <c r="J37" s="98">
        <f t="shared" si="13"/>
        <v>4</v>
      </c>
      <c r="K37" s="98">
        <f t="shared" si="13"/>
        <v>4</v>
      </c>
      <c r="L37" s="98">
        <f t="shared" si="13"/>
        <v>4</v>
      </c>
      <c r="M37" s="98">
        <f t="shared" si="13"/>
        <v>4</v>
      </c>
      <c r="N37" s="26">
        <f>MAX(N38,N$32*$B$2)</f>
        <v>4</v>
      </c>
    </row>
    <row r="38" spans="1:16" ht="12" x14ac:dyDescent="0.2">
      <c r="A38" s="100" t="s">
        <v>124</v>
      </c>
      <c r="B38" s="98">
        <f>ROUND($B$2*B$35,2)</f>
        <v>4</v>
      </c>
      <c r="C38" s="98">
        <f t="shared" ref="C38:M38" si="14">ROUND($B$2*C$35,2)</f>
        <v>4</v>
      </c>
      <c r="D38" s="98">
        <f t="shared" si="14"/>
        <v>3.6</v>
      </c>
      <c r="E38" s="98">
        <f t="shared" si="14"/>
        <v>3.6</v>
      </c>
      <c r="F38" s="98">
        <f t="shared" si="14"/>
        <v>3.6</v>
      </c>
      <c r="G38" s="98">
        <f t="shared" si="14"/>
        <v>4</v>
      </c>
      <c r="H38" s="98">
        <f t="shared" si="14"/>
        <v>4</v>
      </c>
      <c r="I38" s="98">
        <f t="shared" si="14"/>
        <v>4</v>
      </c>
      <c r="J38" s="98">
        <f t="shared" si="14"/>
        <v>3.6</v>
      </c>
      <c r="K38" s="98">
        <f t="shared" si="14"/>
        <v>3.6</v>
      </c>
      <c r="L38" s="98">
        <f t="shared" si="14"/>
        <v>3.6</v>
      </c>
      <c r="M38" s="98">
        <f t="shared" si="14"/>
        <v>3.6</v>
      </c>
      <c r="N38" s="26">
        <f>ROUND($B$2*N$35,2)</f>
        <v>2.4</v>
      </c>
    </row>
    <row r="39" spans="1:16" s="68" customFormat="1" ht="12" x14ac:dyDescent="0.2">
      <c r="A39" s="100" t="s">
        <v>190</v>
      </c>
      <c r="B39" s="221">
        <f>ROUND($B$2*B$36,2)</f>
        <v>3</v>
      </c>
      <c r="C39" s="221">
        <f t="shared" ref="C39:M39" si="15">ROUND($B$2*C$36,2)</f>
        <v>3</v>
      </c>
      <c r="D39" s="221">
        <f t="shared" si="15"/>
        <v>2.25</v>
      </c>
      <c r="E39" s="221">
        <f t="shared" si="15"/>
        <v>2.7</v>
      </c>
      <c r="F39" s="221">
        <f t="shared" si="15"/>
        <v>2.7</v>
      </c>
      <c r="G39" s="221">
        <f t="shared" si="15"/>
        <v>3</v>
      </c>
      <c r="H39" s="221">
        <f t="shared" si="15"/>
        <v>3</v>
      </c>
      <c r="I39" s="221">
        <f t="shared" si="15"/>
        <v>3</v>
      </c>
      <c r="J39" s="221">
        <f t="shared" si="15"/>
        <v>2.25</v>
      </c>
      <c r="K39" s="221">
        <f t="shared" si="15"/>
        <v>2.7</v>
      </c>
      <c r="L39" s="221">
        <f t="shared" si="15"/>
        <v>2.7</v>
      </c>
      <c r="M39" s="221">
        <f t="shared" si="15"/>
        <v>2.7</v>
      </c>
      <c r="N39" s="227">
        <f>ROUND($B$2*N$36,2)</f>
        <v>1.5</v>
      </c>
      <c r="O39" s="117"/>
    </row>
    <row r="40" spans="1:16" s="68" customFormat="1" ht="12" x14ac:dyDescent="0.2">
      <c r="A40" s="226" t="s">
        <v>127</v>
      </c>
      <c r="B40" s="99"/>
      <c r="C40" s="228"/>
      <c r="D40" s="228"/>
      <c r="E40" s="228"/>
      <c r="F40" s="228"/>
      <c r="G40" s="228"/>
      <c r="H40" s="228"/>
      <c r="I40" s="228"/>
      <c r="J40" s="228"/>
      <c r="K40" s="228"/>
      <c r="L40" s="228"/>
      <c r="M40" s="228"/>
      <c r="N40" s="230"/>
      <c r="O40" s="117"/>
    </row>
    <row r="41" spans="1:16" s="69" customFormat="1" ht="12" x14ac:dyDescent="0.2">
      <c r="A41" s="100" t="s">
        <v>191</v>
      </c>
      <c r="B41" s="101">
        <f>B$39</f>
        <v>3</v>
      </c>
      <c r="C41" s="101">
        <f>C$39</f>
        <v>3</v>
      </c>
      <c r="D41" s="101">
        <v>1.5</v>
      </c>
      <c r="E41" s="101">
        <v>2.2000000000000002</v>
      </c>
      <c r="F41" s="101">
        <v>2.5</v>
      </c>
      <c r="G41" s="101">
        <f>G$39</f>
        <v>3</v>
      </c>
      <c r="H41" s="101">
        <f>H$39</f>
        <v>3</v>
      </c>
      <c r="I41" s="101">
        <f>I$39</f>
        <v>3</v>
      </c>
      <c r="J41" s="101">
        <v>1.5</v>
      </c>
      <c r="K41" s="101">
        <v>2.2000000000000002</v>
      </c>
      <c r="L41" s="101">
        <v>2.2000000000000002</v>
      </c>
      <c r="M41" s="101">
        <v>2.2000000000000002</v>
      </c>
      <c r="N41" s="101">
        <f>ROUND(MIN(3,$B$2*0.125),2)</f>
        <v>0.5</v>
      </c>
      <c r="O41" s="160"/>
    </row>
    <row r="42" spans="1:16" s="69" customFormat="1" ht="12" x14ac:dyDescent="0.2">
      <c r="A42" s="100" t="s">
        <v>192</v>
      </c>
      <c r="B42" s="98">
        <f t="shared" ref="B42:C45" si="16">B$39</f>
        <v>3</v>
      </c>
      <c r="C42" s="98">
        <f t="shared" si="16"/>
        <v>3</v>
      </c>
      <c r="D42" s="98">
        <v>1.5</v>
      </c>
      <c r="E42" s="98">
        <v>2.2000000000000002</v>
      </c>
      <c r="F42" s="98">
        <v>2.5</v>
      </c>
      <c r="G42" s="98">
        <f t="shared" ref="G42:I45" si="17">G$39</f>
        <v>3</v>
      </c>
      <c r="H42" s="98">
        <f t="shared" si="17"/>
        <v>3</v>
      </c>
      <c r="I42" s="98">
        <f t="shared" si="17"/>
        <v>3</v>
      </c>
      <c r="J42" s="98">
        <v>1.5</v>
      </c>
      <c r="K42" s="98">
        <v>2.2000000000000002</v>
      </c>
      <c r="L42" s="98">
        <v>2.2000000000000002</v>
      </c>
      <c r="M42" s="98">
        <v>2.2000000000000002</v>
      </c>
      <c r="N42" s="98">
        <f>ROUND(MIN(3,$B$2*0.125),2)</f>
        <v>0.5</v>
      </c>
      <c r="O42" s="160"/>
    </row>
    <row r="43" spans="1:16" s="69" customFormat="1" ht="12" x14ac:dyDescent="0.2">
      <c r="A43" s="100" t="s">
        <v>193</v>
      </c>
      <c r="B43" s="98">
        <f t="shared" si="16"/>
        <v>3</v>
      </c>
      <c r="C43" s="98">
        <f t="shared" si="16"/>
        <v>3</v>
      </c>
      <c r="D43" s="98">
        <v>1.5</v>
      </c>
      <c r="E43" s="98">
        <v>2.2000000000000002</v>
      </c>
      <c r="F43" s="98">
        <v>2.5</v>
      </c>
      <c r="G43" s="98">
        <f t="shared" si="17"/>
        <v>3</v>
      </c>
      <c r="H43" s="98">
        <f t="shared" si="17"/>
        <v>3</v>
      </c>
      <c r="I43" s="98">
        <f t="shared" si="17"/>
        <v>3</v>
      </c>
      <c r="J43" s="98">
        <v>1.5</v>
      </c>
      <c r="K43" s="98">
        <v>2.2000000000000002</v>
      </c>
      <c r="L43" s="98">
        <v>2.2000000000000002</v>
      </c>
      <c r="M43" s="98">
        <v>2.2000000000000002</v>
      </c>
      <c r="N43" s="98">
        <f>ROUND(MIN(3,$B$2*0.125),2)</f>
        <v>0.5</v>
      </c>
      <c r="O43" s="160"/>
    </row>
    <row r="44" spans="1:16" s="69" customFormat="1" ht="12" x14ac:dyDescent="0.2">
      <c r="A44" s="100" t="s">
        <v>194</v>
      </c>
      <c r="B44" s="98">
        <f t="shared" si="16"/>
        <v>3</v>
      </c>
      <c r="C44" s="98">
        <f t="shared" si="16"/>
        <v>3</v>
      </c>
      <c r="D44" s="98">
        <v>2.1</v>
      </c>
      <c r="E44" s="98">
        <v>2.5</v>
      </c>
      <c r="F44" s="98">
        <v>2.2000000000000002</v>
      </c>
      <c r="G44" s="98">
        <f t="shared" si="17"/>
        <v>3</v>
      </c>
      <c r="H44" s="98">
        <f t="shared" si="17"/>
        <v>3</v>
      </c>
      <c r="I44" s="98">
        <f t="shared" si="17"/>
        <v>3</v>
      </c>
      <c r="J44" s="98">
        <v>2.1</v>
      </c>
      <c r="K44" s="98">
        <v>2.5</v>
      </c>
      <c r="L44" s="98">
        <v>2.5</v>
      </c>
      <c r="M44" s="98">
        <v>2.5</v>
      </c>
      <c r="N44" s="98">
        <f>ROUND(MIN(3,$B$2*0.25),2)</f>
        <v>1</v>
      </c>
      <c r="O44" s="160"/>
    </row>
    <row r="45" spans="1:16" s="69" customFormat="1" ht="12" x14ac:dyDescent="0.2">
      <c r="A45" s="100" t="s">
        <v>195</v>
      </c>
      <c r="B45" s="98">
        <f t="shared" si="16"/>
        <v>3</v>
      </c>
      <c r="C45" s="98">
        <f t="shared" si="16"/>
        <v>3</v>
      </c>
      <c r="D45" s="98">
        <v>2.1</v>
      </c>
      <c r="E45" s="98">
        <v>2.5</v>
      </c>
      <c r="F45" s="98">
        <v>2.5</v>
      </c>
      <c r="G45" s="98">
        <f t="shared" si="17"/>
        <v>3</v>
      </c>
      <c r="H45" s="98">
        <f t="shared" si="17"/>
        <v>3</v>
      </c>
      <c r="I45" s="98">
        <f t="shared" si="17"/>
        <v>3</v>
      </c>
      <c r="J45" s="98">
        <v>2.1</v>
      </c>
      <c r="K45" s="98">
        <v>2.5</v>
      </c>
      <c r="L45" s="98">
        <v>2.5</v>
      </c>
      <c r="M45" s="98">
        <v>2.5</v>
      </c>
      <c r="N45" s="98">
        <f>ROUND(MIN(3,$B$2*N$36),2)</f>
        <v>1.5</v>
      </c>
      <c r="O45" s="160"/>
    </row>
    <row r="46" spans="1:16" s="69" customFormat="1" ht="12" x14ac:dyDescent="0.2">
      <c r="A46" s="100"/>
      <c r="B46" s="98"/>
      <c r="C46" s="98"/>
      <c r="D46" s="98"/>
      <c r="E46" s="98"/>
      <c r="F46" s="98"/>
      <c r="G46" s="98"/>
      <c r="H46" s="98"/>
      <c r="I46" s="98"/>
      <c r="J46" s="98"/>
      <c r="K46" s="98"/>
      <c r="L46" s="98"/>
      <c r="M46" s="98"/>
      <c r="N46" s="98"/>
      <c r="O46" s="160"/>
    </row>
    <row r="47" spans="1:16" s="69" customFormat="1" ht="12" x14ac:dyDescent="0.2">
      <c r="A47" s="100" t="s">
        <v>196</v>
      </c>
      <c r="B47" s="98">
        <f>B37</f>
        <v>4</v>
      </c>
      <c r="C47" s="98">
        <f>C37</f>
        <v>4</v>
      </c>
      <c r="D47" s="98">
        <f>D42</f>
        <v>1.5</v>
      </c>
      <c r="E47" s="98">
        <f>E42</f>
        <v>2.2000000000000002</v>
      </c>
      <c r="F47" s="98">
        <f>F42</f>
        <v>2.5</v>
      </c>
      <c r="G47" s="98">
        <f>G37</f>
        <v>4</v>
      </c>
      <c r="H47" s="98">
        <f>H37</f>
        <v>4</v>
      </c>
      <c r="I47" s="98">
        <f>I37</f>
        <v>4</v>
      </c>
      <c r="J47" s="98">
        <f>J42</f>
        <v>1.5</v>
      </c>
      <c r="K47" s="98">
        <f>K42</f>
        <v>2.2000000000000002</v>
      </c>
      <c r="L47" s="98">
        <f>L42</f>
        <v>2.2000000000000002</v>
      </c>
      <c r="M47" s="98">
        <f>M42</f>
        <v>2.2000000000000002</v>
      </c>
      <c r="N47" s="98">
        <f>ROUND($B$2*N$35,2)</f>
        <v>2.4</v>
      </c>
      <c r="O47" s="160"/>
    </row>
    <row r="48" spans="1:16" s="69" customFormat="1" ht="12" x14ac:dyDescent="0.2">
      <c r="A48" s="100" t="s">
        <v>197</v>
      </c>
      <c r="B48" s="98">
        <f t="shared" ref="B48:M48" si="18">B41</f>
        <v>3</v>
      </c>
      <c r="C48" s="98">
        <f t="shared" si="18"/>
        <v>3</v>
      </c>
      <c r="D48" s="98">
        <f t="shared" si="18"/>
        <v>1.5</v>
      </c>
      <c r="E48" s="98">
        <f t="shared" si="18"/>
        <v>2.2000000000000002</v>
      </c>
      <c r="F48" s="98">
        <f t="shared" si="18"/>
        <v>2.5</v>
      </c>
      <c r="G48" s="98">
        <f t="shared" si="18"/>
        <v>3</v>
      </c>
      <c r="H48" s="98">
        <f t="shared" si="18"/>
        <v>3</v>
      </c>
      <c r="I48" s="98">
        <f t="shared" si="18"/>
        <v>3</v>
      </c>
      <c r="J48" s="98">
        <f t="shared" si="18"/>
        <v>1.5</v>
      </c>
      <c r="K48" s="98">
        <f t="shared" si="18"/>
        <v>2.2000000000000002</v>
      </c>
      <c r="L48" s="98">
        <f t="shared" si="18"/>
        <v>2.2000000000000002</v>
      </c>
      <c r="M48" s="98">
        <f t="shared" si="18"/>
        <v>2.2000000000000002</v>
      </c>
      <c r="N48" s="98">
        <f>ROUND(MIN(3,$B$2*0.125),2)</f>
        <v>0.5</v>
      </c>
      <c r="O48" s="160"/>
    </row>
    <row r="49" spans="1:15" s="69" customFormat="1" ht="12" x14ac:dyDescent="0.2">
      <c r="A49" s="100" t="s">
        <v>198</v>
      </c>
      <c r="B49" s="98">
        <f t="shared" ref="B49:M50" si="19">B47</f>
        <v>4</v>
      </c>
      <c r="C49" s="98">
        <f t="shared" si="19"/>
        <v>4</v>
      </c>
      <c r="D49" s="98">
        <f t="shared" si="19"/>
        <v>1.5</v>
      </c>
      <c r="E49" s="98">
        <f t="shared" si="19"/>
        <v>2.2000000000000002</v>
      </c>
      <c r="F49" s="98">
        <f t="shared" si="19"/>
        <v>2.5</v>
      </c>
      <c r="G49" s="98">
        <f t="shared" si="19"/>
        <v>4</v>
      </c>
      <c r="H49" s="98">
        <f t="shared" si="19"/>
        <v>4</v>
      </c>
      <c r="I49" s="98">
        <f t="shared" si="19"/>
        <v>4</v>
      </c>
      <c r="J49" s="98">
        <f t="shared" si="19"/>
        <v>1.5</v>
      </c>
      <c r="K49" s="98">
        <f t="shared" si="19"/>
        <v>2.2000000000000002</v>
      </c>
      <c r="L49" s="98">
        <f t="shared" si="19"/>
        <v>2.2000000000000002</v>
      </c>
      <c r="M49" s="98">
        <f t="shared" si="19"/>
        <v>2.2000000000000002</v>
      </c>
      <c r="N49" s="98">
        <f>N45</f>
        <v>1.5</v>
      </c>
      <c r="O49" s="160"/>
    </row>
    <row r="50" spans="1:15" s="69" customFormat="1" ht="12" x14ac:dyDescent="0.2">
      <c r="A50" s="100" t="s">
        <v>199</v>
      </c>
      <c r="B50" s="98">
        <f t="shared" si="19"/>
        <v>3</v>
      </c>
      <c r="C50" s="98">
        <f t="shared" si="19"/>
        <v>3</v>
      </c>
      <c r="D50" s="98">
        <f t="shared" si="19"/>
        <v>1.5</v>
      </c>
      <c r="E50" s="98">
        <f t="shared" si="19"/>
        <v>2.2000000000000002</v>
      </c>
      <c r="F50" s="98">
        <f t="shared" si="19"/>
        <v>2.5</v>
      </c>
      <c r="G50" s="98">
        <v>3</v>
      </c>
      <c r="H50" s="98">
        <f>H48</f>
        <v>3</v>
      </c>
      <c r="I50" s="98">
        <f>I48</f>
        <v>3</v>
      </c>
      <c r="J50" s="98">
        <f t="shared" si="19"/>
        <v>1.5</v>
      </c>
      <c r="K50" s="98">
        <f t="shared" si="19"/>
        <v>2.2000000000000002</v>
      </c>
      <c r="L50" s="98">
        <f t="shared" si="19"/>
        <v>2.2000000000000002</v>
      </c>
      <c r="M50" s="98">
        <f t="shared" si="19"/>
        <v>2.2000000000000002</v>
      </c>
      <c r="N50" s="98">
        <f>ROUND(MIN(3,$B$2*0.125),2)</f>
        <v>0.5</v>
      </c>
      <c r="O50" s="160"/>
    </row>
    <row r="51" spans="1:15" ht="12.75" x14ac:dyDescent="0.2">
      <c r="A51" s="102" t="s">
        <v>136</v>
      </c>
      <c r="B51" s="462"/>
      <c r="C51" s="463"/>
      <c r="D51" s="463"/>
      <c r="E51" s="463"/>
      <c r="F51" s="463"/>
      <c r="G51" s="463"/>
      <c r="H51" s="463"/>
      <c r="I51" s="463"/>
      <c r="J51" s="463"/>
      <c r="K51" s="463"/>
      <c r="L51" s="463"/>
      <c r="M51" s="464"/>
      <c r="N51" s="81"/>
      <c r="O51" s="117"/>
    </row>
    <row r="52" spans="1:15" ht="12" x14ac:dyDescent="0.2">
      <c r="A52" s="100" t="s">
        <v>137</v>
      </c>
      <c r="B52" s="103">
        <f t="shared" ref="B52:M52" si="20">$B$80</f>
        <v>10</v>
      </c>
      <c r="C52" s="103">
        <f t="shared" si="20"/>
        <v>10</v>
      </c>
      <c r="D52" s="103">
        <f t="shared" si="20"/>
        <v>10</v>
      </c>
      <c r="E52" s="103">
        <f t="shared" si="20"/>
        <v>10</v>
      </c>
      <c r="F52" s="103">
        <f t="shared" si="20"/>
        <v>10</v>
      </c>
      <c r="G52" s="103">
        <f t="shared" si="20"/>
        <v>10</v>
      </c>
      <c r="H52" s="103">
        <f t="shared" si="20"/>
        <v>10</v>
      </c>
      <c r="I52" s="103">
        <f t="shared" si="20"/>
        <v>10</v>
      </c>
      <c r="J52" s="103">
        <f t="shared" si="20"/>
        <v>10</v>
      </c>
      <c r="K52" s="103">
        <f t="shared" si="20"/>
        <v>10</v>
      </c>
      <c r="L52" s="103">
        <f t="shared" si="20"/>
        <v>10</v>
      </c>
      <c r="M52" s="103">
        <f t="shared" si="20"/>
        <v>10</v>
      </c>
      <c r="N52" s="105">
        <f>$B$80</f>
        <v>10</v>
      </c>
    </row>
    <row r="53" spans="1:15" ht="12" x14ac:dyDescent="0.2">
      <c r="A53" s="100" t="s">
        <v>138</v>
      </c>
      <c r="B53" s="105">
        <f>B52</f>
        <v>10</v>
      </c>
      <c r="C53" s="105">
        <f t="shared" ref="C53:L53" si="21">C52</f>
        <v>10</v>
      </c>
      <c r="D53" s="105">
        <f t="shared" si="21"/>
        <v>10</v>
      </c>
      <c r="E53" s="105">
        <f t="shared" si="21"/>
        <v>10</v>
      </c>
      <c r="F53" s="105">
        <f t="shared" si="21"/>
        <v>10</v>
      </c>
      <c r="G53" s="105">
        <f t="shared" si="21"/>
        <v>10</v>
      </c>
      <c r="H53" s="105">
        <f t="shared" si="21"/>
        <v>10</v>
      </c>
      <c r="I53" s="105">
        <f t="shared" si="21"/>
        <v>10</v>
      </c>
      <c r="J53" s="105">
        <f t="shared" si="21"/>
        <v>10</v>
      </c>
      <c r="K53" s="105">
        <f t="shared" si="21"/>
        <v>10</v>
      </c>
      <c r="L53" s="105">
        <f t="shared" si="21"/>
        <v>10</v>
      </c>
      <c r="M53" s="80">
        <v>8</v>
      </c>
      <c r="N53" s="80">
        <v>8</v>
      </c>
    </row>
    <row r="54" spans="1:15" ht="12" x14ac:dyDescent="0.2">
      <c r="A54" s="100" t="s">
        <v>139</v>
      </c>
      <c r="B54" s="105">
        <f>$B$82</f>
        <v>15</v>
      </c>
      <c r="C54" s="105">
        <f t="shared" ref="C54:N54" si="22">$B$82</f>
        <v>15</v>
      </c>
      <c r="D54" s="105">
        <f t="shared" si="22"/>
        <v>15</v>
      </c>
      <c r="E54" s="105">
        <f t="shared" si="22"/>
        <v>15</v>
      </c>
      <c r="F54" s="105">
        <f t="shared" si="22"/>
        <v>15</v>
      </c>
      <c r="G54" s="105">
        <f t="shared" si="22"/>
        <v>15</v>
      </c>
      <c r="H54" s="105">
        <f t="shared" si="22"/>
        <v>15</v>
      </c>
      <c r="I54" s="105">
        <f t="shared" si="22"/>
        <v>15</v>
      </c>
      <c r="J54" s="105">
        <f t="shared" si="22"/>
        <v>15</v>
      </c>
      <c r="K54" s="105">
        <f t="shared" si="22"/>
        <v>15</v>
      </c>
      <c r="L54" s="105">
        <f t="shared" si="22"/>
        <v>15</v>
      </c>
      <c r="M54" s="105">
        <f t="shared" si="22"/>
        <v>15</v>
      </c>
      <c r="N54" s="105">
        <f t="shared" si="22"/>
        <v>15</v>
      </c>
    </row>
    <row r="55" spans="1:15" ht="12" x14ac:dyDescent="0.2">
      <c r="A55" s="100" t="s">
        <v>140</v>
      </c>
      <c r="B55" s="105">
        <f>B54</f>
        <v>15</v>
      </c>
      <c r="C55" s="105">
        <f t="shared" ref="C55:L55" si="23">C54</f>
        <v>15</v>
      </c>
      <c r="D55" s="105">
        <f t="shared" si="23"/>
        <v>15</v>
      </c>
      <c r="E55" s="105">
        <f t="shared" si="23"/>
        <v>15</v>
      </c>
      <c r="F55" s="105">
        <f t="shared" si="23"/>
        <v>15</v>
      </c>
      <c r="G55" s="105">
        <f t="shared" si="23"/>
        <v>15</v>
      </c>
      <c r="H55" s="105">
        <f t="shared" si="23"/>
        <v>15</v>
      </c>
      <c r="I55" s="105">
        <f t="shared" si="23"/>
        <v>15</v>
      </c>
      <c r="J55" s="105">
        <f t="shared" si="23"/>
        <v>15</v>
      </c>
      <c r="K55" s="105">
        <f t="shared" si="23"/>
        <v>15</v>
      </c>
      <c r="L55" s="105">
        <f t="shared" si="23"/>
        <v>15</v>
      </c>
      <c r="M55" s="105">
        <v>12</v>
      </c>
      <c r="N55" s="105">
        <v>13</v>
      </c>
    </row>
    <row r="56" spans="1:15" ht="12" x14ac:dyDescent="0.2">
      <c r="A56" s="107" t="s">
        <v>156</v>
      </c>
      <c r="B56" s="108">
        <f t="shared" ref="B56:N56" si="24">ROUNDUP(IF(B$13="Deploy",MAX((B$72/100)*$B84,$B84),(B$72/100)*$B84),0)</f>
        <v>1</v>
      </c>
      <c r="C56" s="108">
        <f t="shared" si="24"/>
        <v>1</v>
      </c>
      <c r="D56" s="108">
        <f t="shared" si="24"/>
        <v>1</v>
      </c>
      <c r="E56" s="108">
        <f t="shared" si="24"/>
        <v>1</v>
      </c>
      <c r="F56" s="108">
        <f t="shared" si="24"/>
        <v>1</v>
      </c>
      <c r="G56" s="108">
        <f t="shared" si="24"/>
        <v>1</v>
      </c>
      <c r="H56" s="108">
        <f t="shared" si="24"/>
        <v>1</v>
      </c>
      <c r="I56" s="108">
        <f t="shared" si="24"/>
        <v>1</v>
      </c>
      <c r="J56" s="108">
        <f t="shared" si="24"/>
        <v>1</v>
      </c>
      <c r="K56" s="108">
        <f t="shared" si="24"/>
        <v>1</v>
      </c>
      <c r="L56" s="108">
        <f t="shared" si="24"/>
        <v>1</v>
      </c>
      <c r="M56" s="108">
        <f t="shared" si="24"/>
        <v>1</v>
      </c>
      <c r="N56" s="108">
        <f t="shared" si="24"/>
        <v>1</v>
      </c>
    </row>
    <row r="57" spans="1:15" ht="12" x14ac:dyDescent="0.2">
      <c r="A57" s="107" t="s">
        <v>157</v>
      </c>
      <c r="B57" s="108">
        <f t="shared" ref="B57:N57" si="25">ROUND(IF(B$13="Deploy",MAX((B$72/100)*$B85,$B85),(B$72/100)*$B85),0)</f>
        <v>4</v>
      </c>
      <c r="C57" s="108">
        <f t="shared" si="25"/>
        <v>4</v>
      </c>
      <c r="D57" s="108">
        <f t="shared" si="25"/>
        <v>4</v>
      </c>
      <c r="E57" s="108">
        <f t="shared" si="25"/>
        <v>4</v>
      </c>
      <c r="F57" s="108">
        <f t="shared" si="25"/>
        <v>3</v>
      </c>
      <c r="G57" s="108">
        <f t="shared" si="25"/>
        <v>4</v>
      </c>
      <c r="H57" s="108">
        <f t="shared" si="25"/>
        <v>4</v>
      </c>
      <c r="I57" s="108">
        <f t="shared" si="25"/>
        <v>4</v>
      </c>
      <c r="J57" s="108">
        <f t="shared" si="25"/>
        <v>4</v>
      </c>
      <c r="K57" s="108">
        <f t="shared" si="25"/>
        <v>4</v>
      </c>
      <c r="L57" s="108">
        <f t="shared" si="25"/>
        <v>3</v>
      </c>
      <c r="M57" s="108">
        <f t="shared" si="25"/>
        <v>3</v>
      </c>
      <c r="N57" s="108">
        <f t="shared" si="25"/>
        <v>1</v>
      </c>
    </row>
    <row r="58" spans="1:15" ht="12" x14ac:dyDescent="0.2">
      <c r="A58" s="107" t="s">
        <v>158</v>
      </c>
      <c r="B58" s="108">
        <f t="shared" ref="B58:N58" si="26">ROUND(IF(B$13="Deploy",MAX((B$72/100)*$B86,$B86),(B$72/100)*$B86),0)</f>
        <v>5</v>
      </c>
      <c r="C58" s="108">
        <f t="shared" si="26"/>
        <v>5</v>
      </c>
      <c r="D58" s="108">
        <f t="shared" si="26"/>
        <v>5</v>
      </c>
      <c r="E58" s="108">
        <f t="shared" si="26"/>
        <v>5</v>
      </c>
      <c r="F58" s="108">
        <f t="shared" si="26"/>
        <v>4</v>
      </c>
      <c r="G58" s="108">
        <f t="shared" si="26"/>
        <v>5</v>
      </c>
      <c r="H58" s="108">
        <f t="shared" si="26"/>
        <v>5</v>
      </c>
      <c r="I58" s="108">
        <f t="shared" si="26"/>
        <v>5</v>
      </c>
      <c r="J58" s="108">
        <f t="shared" si="26"/>
        <v>5</v>
      </c>
      <c r="K58" s="108">
        <f t="shared" si="26"/>
        <v>5</v>
      </c>
      <c r="L58" s="108">
        <f t="shared" si="26"/>
        <v>4</v>
      </c>
      <c r="M58" s="108">
        <f t="shared" si="26"/>
        <v>4</v>
      </c>
      <c r="N58" s="108">
        <f t="shared" si="26"/>
        <v>2</v>
      </c>
    </row>
    <row r="59" spans="1:15" ht="12" x14ac:dyDescent="0.2">
      <c r="A59" s="107" t="s">
        <v>159</v>
      </c>
      <c r="B59" s="108">
        <f t="shared" ref="B59:N59" si="27">ROUND(IF(B$13="Deploy",MAX((B$72/100)*$B87,$B87),(B$72/100)*$B87),0)</f>
        <v>8</v>
      </c>
      <c r="C59" s="108">
        <f t="shared" si="27"/>
        <v>8</v>
      </c>
      <c r="D59" s="108">
        <f t="shared" si="27"/>
        <v>7</v>
      </c>
      <c r="E59" s="108">
        <f t="shared" si="27"/>
        <v>7</v>
      </c>
      <c r="F59" s="108">
        <f t="shared" si="27"/>
        <v>6</v>
      </c>
      <c r="G59" s="108">
        <f t="shared" si="27"/>
        <v>8</v>
      </c>
      <c r="H59" s="108">
        <f t="shared" si="27"/>
        <v>8</v>
      </c>
      <c r="I59" s="108">
        <f t="shared" si="27"/>
        <v>8</v>
      </c>
      <c r="J59" s="108">
        <f t="shared" si="27"/>
        <v>7</v>
      </c>
      <c r="K59" s="108">
        <f t="shared" si="27"/>
        <v>7</v>
      </c>
      <c r="L59" s="108">
        <f t="shared" si="27"/>
        <v>6</v>
      </c>
      <c r="M59" s="108">
        <f t="shared" si="27"/>
        <v>6</v>
      </c>
      <c r="N59" s="108">
        <f t="shared" si="27"/>
        <v>3</v>
      </c>
    </row>
    <row r="60" spans="1:15" s="68" customFormat="1" ht="12" x14ac:dyDescent="0.2">
      <c r="A60" s="110" t="s">
        <v>160</v>
      </c>
      <c r="B60" s="108">
        <f t="shared" ref="B60:N60" si="28">ROUND(IF(B$13="Deploy",MAX((B$72/100)*$B88,$B88),(B$72/100)*$B88),0)</f>
        <v>3</v>
      </c>
      <c r="C60" s="108">
        <f t="shared" si="28"/>
        <v>3</v>
      </c>
      <c r="D60" s="108">
        <f t="shared" si="28"/>
        <v>3</v>
      </c>
      <c r="E60" s="108">
        <f t="shared" si="28"/>
        <v>3</v>
      </c>
      <c r="F60" s="108">
        <f t="shared" si="28"/>
        <v>2</v>
      </c>
      <c r="G60" s="108">
        <f t="shared" si="28"/>
        <v>3</v>
      </c>
      <c r="H60" s="108">
        <f t="shared" si="28"/>
        <v>3</v>
      </c>
      <c r="I60" s="108">
        <f t="shared" si="28"/>
        <v>3</v>
      </c>
      <c r="J60" s="108">
        <f t="shared" si="28"/>
        <v>3</v>
      </c>
      <c r="K60" s="108">
        <f t="shared" si="28"/>
        <v>3</v>
      </c>
      <c r="L60" s="108">
        <f t="shared" si="28"/>
        <v>2</v>
      </c>
      <c r="M60" s="108">
        <f t="shared" si="28"/>
        <v>2</v>
      </c>
      <c r="N60" s="108">
        <f t="shared" si="28"/>
        <v>1</v>
      </c>
    </row>
    <row r="61" spans="1:15" ht="12" x14ac:dyDescent="0.2">
      <c r="A61" s="107" t="s">
        <v>161</v>
      </c>
      <c r="B61" s="108">
        <f t="shared" ref="B61:N61" si="29">ROUND(IF(B$13="Deploy",MAX((B$72/100)*$B89,$B89),(B$72/100)*$B89),0)</f>
        <v>6</v>
      </c>
      <c r="C61" s="108">
        <f t="shared" si="29"/>
        <v>6</v>
      </c>
      <c r="D61" s="108">
        <f t="shared" si="29"/>
        <v>6</v>
      </c>
      <c r="E61" s="108">
        <f t="shared" si="29"/>
        <v>6</v>
      </c>
      <c r="F61" s="108">
        <f t="shared" si="29"/>
        <v>5</v>
      </c>
      <c r="G61" s="108">
        <f t="shared" si="29"/>
        <v>6</v>
      </c>
      <c r="H61" s="108">
        <f t="shared" si="29"/>
        <v>6</v>
      </c>
      <c r="I61" s="108">
        <f t="shared" si="29"/>
        <v>6</v>
      </c>
      <c r="J61" s="108">
        <f t="shared" si="29"/>
        <v>6</v>
      </c>
      <c r="K61" s="108">
        <f t="shared" si="29"/>
        <v>6</v>
      </c>
      <c r="L61" s="108">
        <f t="shared" si="29"/>
        <v>5</v>
      </c>
      <c r="M61" s="108">
        <f t="shared" si="29"/>
        <v>5</v>
      </c>
      <c r="N61" s="108">
        <f t="shared" si="29"/>
        <v>2</v>
      </c>
    </row>
    <row r="62" spans="1:15" ht="12" x14ac:dyDescent="0.2">
      <c r="A62" s="107" t="s">
        <v>162</v>
      </c>
      <c r="B62" s="108">
        <f t="shared" ref="B62:N62" si="30">ROUND(IF(B$13="Deploy",MAX((B$72/100)*$B90,$B90),(B$72/100)*$B90),0)</f>
        <v>9</v>
      </c>
      <c r="C62" s="108">
        <f t="shared" si="30"/>
        <v>9</v>
      </c>
      <c r="D62" s="108">
        <f t="shared" si="30"/>
        <v>8</v>
      </c>
      <c r="E62" s="108">
        <f t="shared" si="30"/>
        <v>8</v>
      </c>
      <c r="F62" s="108">
        <f t="shared" si="30"/>
        <v>7</v>
      </c>
      <c r="G62" s="108">
        <f t="shared" si="30"/>
        <v>9</v>
      </c>
      <c r="H62" s="108">
        <f t="shared" si="30"/>
        <v>9</v>
      </c>
      <c r="I62" s="108">
        <f t="shared" si="30"/>
        <v>9</v>
      </c>
      <c r="J62" s="108">
        <f t="shared" si="30"/>
        <v>8</v>
      </c>
      <c r="K62" s="108">
        <f t="shared" si="30"/>
        <v>8</v>
      </c>
      <c r="L62" s="108">
        <f t="shared" si="30"/>
        <v>7</v>
      </c>
      <c r="M62" s="108">
        <f t="shared" si="30"/>
        <v>7</v>
      </c>
      <c r="N62" s="108">
        <f t="shared" si="30"/>
        <v>3</v>
      </c>
    </row>
    <row r="63" spans="1:15" ht="12" x14ac:dyDescent="0.2">
      <c r="A63" s="107" t="s">
        <v>163</v>
      </c>
      <c r="B63" s="108">
        <f t="shared" ref="B63:N63" si="31">ROUND(IF(B$13="Deploy",MAX((B$72/100)*$B91,$B91),(B$72/100)*$B91),0)</f>
        <v>12</v>
      </c>
      <c r="C63" s="108">
        <f t="shared" si="31"/>
        <v>12</v>
      </c>
      <c r="D63" s="108">
        <f t="shared" si="31"/>
        <v>11</v>
      </c>
      <c r="E63" s="108">
        <f t="shared" si="31"/>
        <v>11</v>
      </c>
      <c r="F63" s="108">
        <f t="shared" si="31"/>
        <v>10</v>
      </c>
      <c r="G63" s="108">
        <f t="shared" si="31"/>
        <v>12</v>
      </c>
      <c r="H63" s="108">
        <f t="shared" si="31"/>
        <v>12</v>
      </c>
      <c r="I63" s="108">
        <f t="shared" si="31"/>
        <v>12</v>
      </c>
      <c r="J63" s="108">
        <f t="shared" si="31"/>
        <v>11</v>
      </c>
      <c r="K63" s="108">
        <f t="shared" si="31"/>
        <v>11</v>
      </c>
      <c r="L63" s="108">
        <f t="shared" si="31"/>
        <v>10</v>
      </c>
      <c r="M63" s="108">
        <f t="shared" si="31"/>
        <v>10</v>
      </c>
      <c r="N63" s="108">
        <f t="shared" si="31"/>
        <v>4</v>
      </c>
    </row>
    <row r="64" spans="1:15" ht="12" x14ac:dyDescent="0.2">
      <c r="A64" s="100" t="s">
        <v>165</v>
      </c>
      <c r="B64" s="80">
        <v>4</v>
      </c>
      <c r="C64" s="80">
        <v>4</v>
      </c>
      <c r="D64" s="80">
        <v>4</v>
      </c>
      <c r="E64" s="80">
        <v>4</v>
      </c>
      <c r="F64" s="80">
        <v>4</v>
      </c>
      <c r="G64" s="80">
        <v>4</v>
      </c>
      <c r="H64" s="80">
        <v>4</v>
      </c>
      <c r="I64" s="80">
        <v>4</v>
      </c>
      <c r="J64" s="80">
        <v>4</v>
      </c>
      <c r="K64" s="80">
        <v>4</v>
      </c>
      <c r="L64" s="80">
        <v>4</v>
      </c>
      <c r="M64" s="80">
        <v>4</v>
      </c>
      <c r="N64" s="80">
        <v>0</v>
      </c>
    </row>
    <row r="65" spans="1:16" x14ac:dyDescent="0.2">
      <c r="N65" s="86"/>
    </row>
    <row r="66" spans="1:16" ht="12" x14ac:dyDescent="0.2">
      <c r="A66" s="111"/>
      <c r="B66" s="112"/>
      <c r="C66" s="68" t="s">
        <v>200</v>
      </c>
      <c r="D66" s="113"/>
      <c r="E66" s="113"/>
      <c r="F66" s="113"/>
      <c r="G66" s="113"/>
      <c r="H66" s="113"/>
      <c r="I66" s="113"/>
      <c r="J66" s="113"/>
      <c r="K66" s="113"/>
      <c r="L66" s="113"/>
      <c r="M66" s="113"/>
      <c r="N66" s="113"/>
    </row>
    <row r="67" spans="1:16" ht="12" x14ac:dyDescent="0.2">
      <c r="A67" s="111"/>
      <c r="B67" s="115"/>
      <c r="C67" s="68" t="s">
        <v>201</v>
      </c>
      <c r="D67" s="113"/>
      <c r="E67" s="113"/>
      <c r="F67" s="113"/>
      <c r="G67" s="113"/>
      <c r="H67" s="113"/>
      <c r="I67" s="113"/>
      <c r="J67" s="113"/>
      <c r="K67" s="113"/>
      <c r="L67" s="113"/>
      <c r="M67" s="113"/>
      <c r="N67" s="113"/>
    </row>
    <row r="68" spans="1:16" ht="12.75" thickBot="1" x14ac:dyDescent="0.25">
      <c r="A68" s="114"/>
      <c r="B68" s="113"/>
      <c r="C68" s="113"/>
      <c r="D68" s="113"/>
      <c r="E68" s="113"/>
      <c r="F68" s="113"/>
      <c r="G68" s="113"/>
      <c r="H68" s="113"/>
      <c r="I68" s="113"/>
      <c r="J68" s="113"/>
      <c r="K68" s="113"/>
      <c r="L68" s="113"/>
      <c r="M68" s="113"/>
      <c r="N68" s="113"/>
      <c r="O68" s="117"/>
      <c r="P68" s="118"/>
    </row>
    <row r="69" spans="1:16" ht="13.5" thickBot="1" x14ac:dyDescent="0.25">
      <c r="A69" s="491" t="s">
        <v>145</v>
      </c>
      <c r="B69" s="492"/>
      <c r="C69" s="492"/>
      <c r="D69" s="492"/>
      <c r="E69" s="492"/>
      <c r="F69" s="492"/>
      <c r="G69" s="492"/>
      <c r="H69" s="492"/>
      <c r="I69" s="492"/>
      <c r="J69" s="492"/>
      <c r="K69" s="492"/>
      <c r="L69" s="492"/>
      <c r="M69" s="492"/>
      <c r="N69" s="493"/>
      <c r="O69" s="86"/>
      <c r="P69" s="86"/>
    </row>
    <row r="70" spans="1:16" ht="12" x14ac:dyDescent="0.2">
      <c r="A70" s="119" t="s">
        <v>146</v>
      </c>
      <c r="B70" s="120">
        <f t="shared" ref="B70:M70" si="32">MIN(100,B72+$B$75)</f>
        <v>100</v>
      </c>
      <c r="C70" s="120">
        <f t="shared" si="32"/>
        <v>100</v>
      </c>
      <c r="D70" s="120">
        <f t="shared" si="32"/>
        <v>99.65352133915421</v>
      </c>
      <c r="E70" s="120">
        <f t="shared" si="32"/>
        <v>99.65352133915421</v>
      </c>
      <c r="F70" s="120">
        <f t="shared" si="32"/>
        <v>88.65352133915421</v>
      </c>
      <c r="G70" s="120">
        <f t="shared" si="32"/>
        <v>100</v>
      </c>
      <c r="H70" s="120">
        <f t="shared" si="32"/>
        <v>100</v>
      </c>
      <c r="I70" s="120">
        <f t="shared" si="32"/>
        <v>100</v>
      </c>
      <c r="J70" s="120">
        <f t="shared" si="32"/>
        <v>100</v>
      </c>
      <c r="K70" s="120">
        <f t="shared" si="32"/>
        <v>99.65352133915421</v>
      </c>
      <c r="L70" s="120">
        <f t="shared" si="32"/>
        <v>88.65352133915421</v>
      </c>
      <c r="M70" s="161">
        <f t="shared" si="32"/>
        <v>87.65352133915421</v>
      </c>
      <c r="N70" s="39">
        <v>60.803436023597357</v>
      </c>
      <c r="O70" s="86"/>
      <c r="P70" s="86"/>
    </row>
    <row r="71" spans="1:16" ht="12" x14ac:dyDescent="0.2">
      <c r="A71" s="122" t="s">
        <v>147</v>
      </c>
      <c r="B71" s="123">
        <f t="shared" ref="B71:M71" si="33">MIN(100,B72+$B$76)</f>
        <v>100</v>
      </c>
      <c r="C71" s="123">
        <f t="shared" si="33"/>
        <v>100</v>
      </c>
      <c r="D71" s="123">
        <f t="shared" si="33"/>
        <v>95.826760669577112</v>
      </c>
      <c r="E71" s="123">
        <f t="shared" si="33"/>
        <v>95.826760669577112</v>
      </c>
      <c r="F71" s="123">
        <f t="shared" si="33"/>
        <v>84.826760669577112</v>
      </c>
      <c r="G71" s="123">
        <f t="shared" si="33"/>
        <v>100</v>
      </c>
      <c r="H71" s="123">
        <f t="shared" si="33"/>
        <v>100</v>
      </c>
      <c r="I71" s="123">
        <f t="shared" si="33"/>
        <v>100</v>
      </c>
      <c r="J71" s="123">
        <f t="shared" si="33"/>
        <v>96.826760669577112</v>
      </c>
      <c r="K71" s="123">
        <f t="shared" si="33"/>
        <v>95.826760669577112</v>
      </c>
      <c r="L71" s="123">
        <f t="shared" si="33"/>
        <v>84.826760669577112</v>
      </c>
      <c r="M71" s="162">
        <f t="shared" si="33"/>
        <v>83.826760669577112</v>
      </c>
      <c r="N71" s="32">
        <v>48.901718011798678</v>
      </c>
      <c r="O71" s="86"/>
      <c r="P71" s="86"/>
    </row>
    <row r="72" spans="1:16" ht="12" x14ac:dyDescent="0.2">
      <c r="A72" s="179" t="s">
        <v>148</v>
      </c>
      <c r="B72" s="37">
        <v>100</v>
      </c>
      <c r="C72" s="37">
        <v>100</v>
      </c>
      <c r="D72" s="37">
        <v>92</v>
      </c>
      <c r="E72" s="37">
        <v>92</v>
      </c>
      <c r="F72" s="37">
        <v>81</v>
      </c>
      <c r="G72" s="37">
        <v>100</v>
      </c>
      <c r="H72" s="37">
        <v>100</v>
      </c>
      <c r="I72" s="37">
        <v>100</v>
      </c>
      <c r="J72" s="37">
        <v>93</v>
      </c>
      <c r="K72" s="37">
        <v>92</v>
      </c>
      <c r="L72" s="37">
        <v>81</v>
      </c>
      <c r="M72" s="38">
        <v>80</v>
      </c>
      <c r="N72" s="33">
        <v>37</v>
      </c>
      <c r="O72" s="86"/>
      <c r="P72" s="86"/>
    </row>
    <row r="73" spans="1:16" ht="12" x14ac:dyDescent="0.2">
      <c r="A73" s="122" t="s">
        <v>149</v>
      </c>
      <c r="B73" s="123">
        <f t="shared" ref="B73:M73" si="34">MIN(80,IF(B13="Deploy",80,MAX(0,B72-$B$76)))</f>
        <v>80</v>
      </c>
      <c r="C73" s="123">
        <f t="shared" si="34"/>
        <v>80</v>
      </c>
      <c r="D73" s="123">
        <f t="shared" si="34"/>
        <v>80</v>
      </c>
      <c r="E73" s="123">
        <f t="shared" si="34"/>
        <v>80</v>
      </c>
      <c r="F73" s="123">
        <f t="shared" si="34"/>
        <v>77.173239330422888</v>
      </c>
      <c r="G73" s="123">
        <f t="shared" si="34"/>
        <v>80</v>
      </c>
      <c r="H73" s="123">
        <f t="shared" si="34"/>
        <v>80</v>
      </c>
      <c r="I73" s="123">
        <f t="shared" si="34"/>
        <v>80</v>
      </c>
      <c r="J73" s="123">
        <f t="shared" si="34"/>
        <v>80</v>
      </c>
      <c r="K73" s="123">
        <f t="shared" si="34"/>
        <v>80</v>
      </c>
      <c r="L73" s="123">
        <f t="shared" si="34"/>
        <v>77.173239330422888</v>
      </c>
      <c r="M73" s="162">
        <f t="shared" si="34"/>
        <v>76.173239330422888</v>
      </c>
      <c r="N73" s="32">
        <v>25.098281988201322</v>
      </c>
      <c r="O73" s="86"/>
      <c r="P73" s="86"/>
    </row>
    <row r="74" spans="1:16" ht="12.75" thickBot="1" x14ac:dyDescent="0.25">
      <c r="A74" s="163" t="s">
        <v>150</v>
      </c>
      <c r="B74" s="129">
        <f t="shared" ref="B74:M74" si="35">MIN(60,IF(B13="Deploy",60,MAX(0,B72-$B$75)))</f>
        <v>60</v>
      </c>
      <c r="C74" s="129">
        <f t="shared" si="35"/>
        <v>60</v>
      </c>
      <c r="D74" s="129">
        <f t="shared" si="35"/>
        <v>60</v>
      </c>
      <c r="E74" s="129">
        <f t="shared" si="35"/>
        <v>60</v>
      </c>
      <c r="F74" s="129">
        <f t="shared" si="35"/>
        <v>60</v>
      </c>
      <c r="G74" s="129">
        <f t="shared" si="35"/>
        <v>60</v>
      </c>
      <c r="H74" s="129">
        <f t="shared" si="35"/>
        <v>60</v>
      </c>
      <c r="I74" s="129">
        <f t="shared" si="35"/>
        <v>60</v>
      </c>
      <c r="J74" s="129">
        <f t="shared" si="35"/>
        <v>60</v>
      </c>
      <c r="K74" s="129">
        <f t="shared" si="35"/>
        <v>60</v>
      </c>
      <c r="L74" s="129">
        <f t="shared" si="35"/>
        <v>60</v>
      </c>
      <c r="M74" s="164">
        <f t="shared" si="35"/>
        <v>60</v>
      </c>
      <c r="N74" s="34">
        <v>13.196563976402647</v>
      </c>
      <c r="O74" s="86"/>
      <c r="P74" s="86"/>
    </row>
    <row r="75" spans="1:16" x14ac:dyDescent="0.2">
      <c r="A75" s="131" t="s">
        <v>152</v>
      </c>
      <c r="B75" s="132">
        <f t="array" ref="B75">SQRT(SUM(POWER(AVERAGE(B72:M72)-(B72:M72),2))/COUNT(B72:M72))*1</f>
        <v>7.6535213391542127</v>
      </c>
      <c r="N75" s="86"/>
      <c r="O75" s="86"/>
      <c r="P75" s="86"/>
    </row>
    <row r="76" spans="1:16" ht="12" thickBot="1" x14ac:dyDescent="0.25">
      <c r="A76" s="133" t="s">
        <v>153</v>
      </c>
      <c r="B76" s="134">
        <f>B75/2</f>
        <v>3.8267606695771064</v>
      </c>
      <c r="N76" s="86"/>
      <c r="O76" s="86"/>
      <c r="P76" s="86"/>
    </row>
    <row r="77" spans="1:16" ht="12" thickBot="1" x14ac:dyDescent="0.25">
      <c r="N77" s="86"/>
      <c r="O77" s="86"/>
      <c r="P77" s="86"/>
    </row>
    <row r="78" spans="1:16" ht="13.5" thickBot="1" x14ac:dyDescent="0.25">
      <c r="A78" s="498" t="s">
        <v>154</v>
      </c>
      <c r="B78" s="499"/>
      <c r="N78" s="86"/>
      <c r="O78" s="86"/>
      <c r="P78" s="86"/>
    </row>
    <row r="79" spans="1:16" ht="12.75" thickBot="1" x14ac:dyDescent="0.25">
      <c r="A79" s="500" t="s">
        <v>155</v>
      </c>
      <c r="B79" s="501"/>
      <c r="N79" s="86"/>
      <c r="O79" s="86"/>
      <c r="P79" s="86"/>
    </row>
    <row r="80" spans="1:16" ht="12.75" thickTop="1" x14ac:dyDescent="0.2">
      <c r="A80" s="135" t="s">
        <v>137</v>
      </c>
      <c r="B80" s="136">
        <v>10</v>
      </c>
      <c r="F80" s="165"/>
      <c r="G80" s="166"/>
      <c r="H80" s="166"/>
      <c r="N80" s="86"/>
      <c r="O80" s="86"/>
      <c r="P80" s="86"/>
    </row>
    <row r="81" spans="1:16" ht="12" x14ac:dyDescent="0.2">
      <c r="A81" s="137" t="s">
        <v>138</v>
      </c>
      <c r="B81" s="138">
        <v>8</v>
      </c>
      <c r="F81" s="165"/>
      <c r="G81" s="166"/>
      <c r="H81" s="166"/>
      <c r="N81" s="86"/>
      <c r="O81" s="86"/>
      <c r="P81" s="86"/>
    </row>
    <row r="82" spans="1:16" ht="12" x14ac:dyDescent="0.2">
      <c r="A82" s="135" t="s">
        <v>139</v>
      </c>
      <c r="B82" s="136">
        <v>15</v>
      </c>
      <c r="F82" s="165"/>
      <c r="G82" s="166"/>
      <c r="H82" s="166"/>
      <c r="N82" s="86"/>
      <c r="O82" s="86"/>
      <c r="P82" s="86"/>
    </row>
    <row r="83" spans="1:16" ht="12" x14ac:dyDescent="0.2">
      <c r="A83" s="137" t="s">
        <v>140</v>
      </c>
      <c r="B83" s="138">
        <v>12</v>
      </c>
      <c r="F83" s="165"/>
      <c r="G83" s="166"/>
      <c r="H83" s="166"/>
      <c r="N83" s="86"/>
      <c r="O83" s="86"/>
      <c r="P83" s="86"/>
    </row>
    <row r="84" spans="1:16" ht="12" x14ac:dyDescent="0.2">
      <c r="A84" s="139" t="s">
        <v>156</v>
      </c>
      <c r="B84" s="140">
        <v>1</v>
      </c>
      <c r="F84" s="165"/>
      <c r="G84" s="166"/>
      <c r="H84" s="166"/>
      <c r="N84" s="86"/>
      <c r="O84" s="86"/>
      <c r="P84" s="86"/>
    </row>
    <row r="85" spans="1:16" ht="12" x14ac:dyDescent="0.2">
      <c r="A85" s="141" t="s">
        <v>157</v>
      </c>
      <c r="B85" s="142">
        <v>4</v>
      </c>
      <c r="F85" s="165"/>
      <c r="G85" s="166"/>
      <c r="H85" s="166"/>
      <c r="N85" s="86"/>
      <c r="O85" s="86"/>
      <c r="P85" s="86"/>
    </row>
    <row r="86" spans="1:16" ht="12" x14ac:dyDescent="0.2">
      <c r="A86" s="141" t="s">
        <v>158</v>
      </c>
      <c r="B86" s="142">
        <v>5</v>
      </c>
      <c r="N86" s="86"/>
      <c r="O86" s="86"/>
      <c r="P86" s="86"/>
    </row>
    <row r="87" spans="1:16" ht="12" x14ac:dyDescent="0.2">
      <c r="A87" s="141" t="s">
        <v>159</v>
      </c>
      <c r="B87" s="142">
        <v>8</v>
      </c>
      <c r="N87" s="143"/>
      <c r="O87" s="86"/>
      <c r="P87" s="86"/>
    </row>
    <row r="88" spans="1:16" ht="12" x14ac:dyDescent="0.2">
      <c r="A88" s="141" t="s">
        <v>160</v>
      </c>
      <c r="B88" s="142">
        <v>3</v>
      </c>
      <c r="F88" s="165"/>
      <c r="G88" s="166"/>
      <c r="H88" s="166"/>
      <c r="N88" s="143"/>
    </row>
    <row r="89" spans="1:16" ht="12" x14ac:dyDescent="0.2">
      <c r="A89" s="141" t="s">
        <v>161</v>
      </c>
      <c r="B89" s="142">
        <v>6</v>
      </c>
      <c r="F89" s="165"/>
      <c r="G89" s="166"/>
      <c r="H89" s="166"/>
      <c r="N89" s="143"/>
      <c r="O89" s="116"/>
      <c r="P89" s="116"/>
    </row>
    <row r="90" spans="1:16" ht="12" x14ac:dyDescent="0.2">
      <c r="A90" s="141" t="s">
        <v>162</v>
      </c>
      <c r="B90" s="142">
        <v>9</v>
      </c>
      <c r="N90" s="143"/>
    </row>
    <row r="91" spans="1:16" ht="12" x14ac:dyDescent="0.2">
      <c r="A91" s="141" t="s">
        <v>163</v>
      </c>
      <c r="B91" s="142">
        <v>12</v>
      </c>
      <c r="N91" s="143"/>
    </row>
    <row r="92" spans="1:16" ht="12.75" thickBot="1" x14ac:dyDescent="0.25">
      <c r="A92" s="144" t="s">
        <v>165</v>
      </c>
      <c r="B92" s="145">
        <v>4</v>
      </c>
      <c r="N92" s="143"/>
    </row>
    <row r="93" spans="1:16" x14ac:dyDescent="0.2">
      <c r="N93" s="143"/>
    </row>
    <row r="94" spans="1:16" x14ac:dyDescent="0.2">
      <c r="N94" s="86"/>
    </row>
    <row r="95" spans="1:16" ht="12" thickBot="1" x14ac:dyDescent="0.25">
      <c r="N95" s="86"/>
    </row>
    <row r="96" spans="1:16" ht="13.5" thickBot="1" x14ac:dyDescent="0.25">
      <c r="A96" s="475" t="s">
        <v>166</v>
      </c>
      <c r="B96" s="476"/>
      <c r="C96" s="15"/>
      <c r="D96" s="15"/>
      <c r="E96" s="15"/>
      <c r="F96" s="15"/>
      <c r="G96" s="15"/>
      <c r="H96" s="15"/>
      <c r="I96" s="15"/>
      <c r="J96" s="15"/>
      <c r="K96" s="15"/>
      <c r="L96" s="15"/>
      <c r="M96" s="15"/>
      <c r="N96" s="15"/>
    </row>
    <row r="97" spans="1:29" ht="12" x14ac:dyDescent="0.2">
      <c r="A97" s="17" t="s">
        <v>167</v>
      </c>
      <c r="B97" s="18"/>
      <c r="C97" s="18"/>
      <c r="D97" s="18"/>
      <c r="E97" s="18"/>
      <c r="F97" s="18"/>
      <c r="G97" s="18"/>
      <c r="H97" s="18"/>
      <c r="I97" s="18"/>
      <c r="J97" s="18"/>
      <c r="K97" s="18"/>
      <c r="L97" s="18"/>
      <c r="M97" s="18"/>
      <c r="N97" s="19" t="s">
        <v>168</v>
      </c>
    </row>
    <row r="98" spans="1:29" ht="12.75" thickBot="1" x14ac:dyDescent="0.25">
      <c r="A98" s="20" t="s">
        <v>169</v>
      </c>
      <c r="B98" s="21" t="s">
        <v>168</v>
      </c>
      <c r="C98" s="21" t="s">
        <v>168</v>
      </c>
      <c r="D98" s="21"/>
      <c r="E98" s="21"/>
      <c r="F98" s="21"/>
      <c r="G98" s="21" t="s">
        <v>168</v>
      </c>
      <c r="H98" s="21" t="s">
        <v>168</v>
      </c>
      <c r="I98" s="21" t="s">
        <v>168</v>
      </c>
      <c r="J98" s="21"/>
      <c r="K98" s="21"/>
      <c r="L98" s="21"/>
      <c r="M98" s="21"/>
      <c r="N98" s="22"/>
    </row>
    <row r="99" spans="1:29" ht="12" x14ac:dyDescent="0.2">
      <c r="AC99" s="15"/>
    </row>
    <row r="103" spans="1:29" ht="12.75" thickBot="1" x14ac:dyDescent="0.25">
      <c r="A103" s="15"/>
      <c r="B103" s="15"/>
      <c r="C103" s="15"/>
      <c r="D103" s="15"/>
      <c r="E103" s="15"/>
      <c r="F103" s="15"/>
      <c r="G103" s="15"/>
      <c r="H103" s="15"/>
      <c r="I103" s="211"/>
    </row>
    <row r="104" spans="1:29" ht="15" x14ac:dyDescent="0.25">
      <c r="A104" s="212" t="s">
        <v>170</v>
      </c>
      <c r="B104" s="486" t="s">
        <v>171</v>
      </c>
      <c r="C104" s="486"/>
      <c r="D104" s="487" t="s">
        <v>172</v>
      </c>
      <c r="E104" s="487"/>
      <c r="F104" s="488" t="s">
        <v>173</v>
      </c>
      <c r="G104" s="489"/>
      <c r="H104" s="15"/>
      <c r="I104" s="224" t="s">
        <v>174</v>
      </c>
    </row>
    <row r="105" spans="1:29" ht="12.75" x14ac:dyDescent="0.2">
      <c r="A105" s="213" t="s">
        <v>175</v>
      </c>
      <c r="B105" s="199"/>
      <c r="C105" s="199"/>
      <c r="D105" s="199"/>
      <c r="E105" s="199"/>
      <c r="F105" s="199"/>
      <c r="G105" s="200"/>
      <c r="H105" s="15"/>
      <c r="I105" s="62" t="s">
        <v>46</v>
      </c>
    </row>
    <row r="106" spans="1:29" ht="12" x14ac:dyDescent="0.2">
      <c r="A106" s="201" t="s">
        <v>176</v>
      </c>
      <c r="B106" s="202">
        <v>4</v>
      </c>
      <c r="C106" s="202">
        <v>4</v>
      </c>
      <c r="D106" s="203">
        <f>C106-1</f>
        <v>3</v>
      </c>
      <c r="E106" s="203">
        <v>3</v>
      </c>
      <c r="F106" s="204">
        <f>E106-1</f>
        <v>2</v>
      </c>
      <c r="G106" s="214">
        <v>0</v>
      </c>
      <c r="H106" s="15"/>
      <c r="I106" s="211"/>
    </row>
    <row r="107" spans="1:29" ht="12" x14ac:dyDescent="0.2">
      <c r="A107" s="201" t="s">
        <v>202</v>
      </c>
      <c r="B107" s="202">
        <v>4</v>
      </c>
      <c r="C107" s="202">
        <v>3</v>
      </c>
      <c r="D107" s="203">
        <f>C107-1</f>
        <v>2</v>
      </c>
      <c r="E107" s="203">
        <v>2</v>
      </c>
      <c r="F107" s="204">
        <f>E107-1</f>
        <v>1</v>
      </c>
      <c r="G107" s="214">
        <v>0</v>
      </c>
      <c r="H107" s="15"/>
      <c r="I107" s="211"/>
    </row>
    <row r="108" spans="1:29" ht="12" x14ac:dyDescent="0.2">
      <c r="A108" s="213" t="s">
        <v>127</v>
      </c>
      <c r="B108" s="209"/>
      <c r="C108" s="210"/>
      <c r="D108" s="210"/>
      <c r="E108" s="210"/>
      <c r="F108" s="210"/>
      <c r="G108" s="216"/>
      <c r="H108" s="15"/>
      <c r="I108" s="211"/>
    </row>
    <row r="109" spans="1:29" ht="12" x14ac:dyDescent="0.2">
      <c r="A109" s="201" t="str">
        <f>A42</f>
        <v>Ready Electronic Warfare Mission Systems (HE2K ONLY)</v>
      </c>
      <c r="B109" s="202">
        <v>4</v>
      </c>
      <c r="C109" s="202">
        <v>3</v>
      </c>
      <c r="D109" s="203">
        <f>C109-1</f>
        <v>2</v>
      </c>
      <c r="E109" s="203">
        <v>2</v>
      </c>
      <c r="F109" s="204">
        <f>E109-1</f>
        <v>1</v>
      </c>
      <c r="G109" s="214">
        <v>0</v>
      </c>
      <c r="H109" s="15"/>
      <c r="I109" s="211"/>
    </row>
    <row r="110" spans="1:29" ht="12" x14ac:dyDescent="0.2">
      <c r="A110" s="201" t="str">
        <f>A43</f>
        <v>Ready Tactical Communication Mission Systems</v>
      </c>
      <c r="B110" s="202">
        <v>4</v>
      </c>
      <c r="C110" s="202">
        <v>3</v>
      </c>
      <c r="D110" s="203">
        <f>C110-1</f>
        <v>2</v>
      </c>
      <c r="E110" s="203">
        <v>2</v>
      </c>
      <c r="F110" s="204">
        <f>E110-1</f>
        <v>1</v>
      </c>
      <c r="G110" s="214">
        <v>0</v>
      </c>
      <c r="H110" s="15"/>
      <c r="I110" s="211"/>
    </row>
    <row r="111" spans="1:29" ht="12" x14ac:dyDescent="0.2">
      <c r="A111" s="201" t="str">
        <f>A44</f>
        <v>Ready Basic ACC Mission Systems</v>
      </c>
      <c r="B111" s="202">
        <v>4</v>
      </c>
      <c r="C111" s="202">
        <v>3</v>
      </c>
      <c r="D111" s="203">
        <f>C111-1</f>
        <v>2</v>
      </c>
      <c r="E111" s="203">
        <v>2</v>
      </c>
      <c r="F111" s="204">
        <f>E111-1</f>
        <v>1</v>
      </c>
      <c r="G111" s="214">
        <v>0</v>
      </c>
      <c r="H111" s="15"/>
      <c r="I111" s="211"/>
    </row>
    <row r="112" spans="1:29" ht="12" x14ac:dyDescent="0.2">
      <c r="A112" s="201" t="str">
        <f>A45</f>
        <v>Ready Shipboard Mission Systems</v>
      </c>
      <c r="B112" s="202">
        <v>4</v>
      </c>
      <c r="C112" s="202">
        <v>3</v>
      </c>
      <c r="D112" s="203">
        <f>C112-1</f>
        <v>2</v>
      </c>
      <c r="E112" s="203">
        <v>2</v>
      </c>
      <c r="F112" s="204">
        <f>E112-1</f>
        <v>1</v>
      </c>
      <c r="G112" s="214">
        <v>0</v>
      </c>
      <c r="H112" s="15"/>
      <c r="I112" s="211"/>
    </row>
    <row r="113" spans="1:7" ht="12" x14ac:dyDescent="0.2">
      <c r="A113" s="213" t="s">
        <v>203</v>
      </c>
      <c r="B113" s="209"/>
      <c r="C113" s="210"/>
      <c r="D113" s="210"/>
      <c r="E113" s="210"/>
      <c r="F113" s="210"/>
      <c r="G113" s="216"/>
    </row>
    <row r="114" spans="1:7" ht="12" x14ac:dyDescent="0.2">
      <c r="A114" s="201" t="str">
        <f>A47</f>
        <v>Assigned CEC Mission Sets (HE2K ONLY)</v>
      </c>
      <c r="B114" s="202">
        <v>4</v>
      </c>
      <c r="C114" s="202">
        <v>4</v>
      </c>
      <c r="D114" s="203">
        <f>C114-1</f>
        <v>3</v>
      </c>
      <c r="E114" s="203">
        <v>3</v>
      </c>
      <c r="F114" s="204">
        <f>E114-1</f>
        <v>2</v>
      </c>
      <c r="G114" s="214">
        <v>0</v>
      </c>
    </row>
    <row r="115" spans="1:7" ht="12" x14ac:dyDescent="0.2">
      <c r="A115" s="201" t="str">
        <f>A48</f>
        <v>Ready CEC Mission Sets (HE2K ONLY)</v>
      </c>
      <c r="B115" s="202">
        <v>4</v>
      </c>
      <c r="C115" s="202">
        <v>3</v>
      </c>
      <c r="D115" s="203">
        <f>C115-1</f>
        <v>2</v>
      </c>
      <c r="E115" s="203">
        <v>2</v>
      </c>
      <c r="F115" s="204">
        <f>E115-1</f>
        <v>1</v>
      </c>
      <c r="G115" s="214">
        <v>0</v>
      </c>
    </row>
    <row r="116" spans="1:7" ht="12" x14ac:dyDescent="0.2">
      <c r="A116" s="201" t="str">
        <f>A49</f>
        <v xml:space="preserve">Assigned ES Mission Sets </v>
      </c>
      <c r="B116" s="202">
        <v>4</v>
      </c>
      <c r="C116" s="202">
        <v>4</v>
      </c>
      <c r="D116" s="203">
        <f>C116-1</f>
        <v>3</v>
      </c>
      <c r="E116" s="203">
        <v>3</v>
      </c>
      <c r="F116" s="204">
        <f>E116-1</f>
        <v>2</v>
      </c>
      <c r="G116" s="214">
        <v>0</v>
      </c>
    </row>
    <row r="117" spans="1:7" ht="12" x14ac:dyDescent="0.2">
      <c r="A117" s="201" t="str">
        <f>A50</f>
        <v>Ready ES Mission Sets</v>
      </c>
      <c r="B117" s="202">
        <v>4</v>
      </c>
      <c r="C117" s="202">
        <v>3</v>
      </c>
      <c r="D117" s="203">
        <f>C117-1</f>
        <v>2</v>
      </c>
      <c r="E117" s="203">
        <v>2</v>
      </c>
      <c r="F117" s="204">
        <f>E117-1</f>
        <v>1</v>
      </c>
      <c r="G117" s="214">
        <v>0</v>
      </c>
    </row>
    <row r="157" spans="1:32" s="68" customFormat="1" ht="12" x14ac:dyDescent="0.2">
      <c r="A157" s="167" t="s">
        <v>204</v>
      </c>
      <c r="B157" s="87">
        <v>0.5</v>
      </c>
      <c r="C157" s="87">
        <v>0.5</v>
      </c>
      <c r="D157" s="87">
        <v>0.5</v>
      </c>
      <c r="E157" s="87">
        <v>0.5</v>
      </c>
      <c r="F157" s="87">
        <v>0.5</v>
      </c>
      <c r="G157" s="87">
        <v>0.5</v>
      </c>
      <c r="H157" s="87">
        <v>0.55000000000000004</v>
      </c>
      <c r="I157" s="87">
        <v>0.6</v>
      </c>
      <c r="J157" s="87">
        <v>0.65</v>
      </c>
      <c r="K157" s="87">
        <v>0.7</v>
      </c>
      <c r="L157" s="87">
        <v>0.7</v>
      </c>
      <c r="M157" s="87">
        <v>0.7</v>
      </c>
      <c r="Q157" s="86"/>
      <c r="R157" s="86"/>
      <c r="S157" s="86"/>
      <c r="T157" s="86"/>
      <c r="U157" s="86"/>
      <c r="V157" s="86"/>
      <c r="W157" s="86"/>
      <c r="X157" s="86"/>
      <c r="Y157" s="86"/>
      <c r="Z157" s="86"/>
      <c r="AA157" s="86"/>
      <c r="AB157" s="86"/>
      <c r="AC157" s="86"/>
      <c r="AD157" s="86"/>
      <c r="AE157" s="86"/>
      <c r="AF157" s="86"/>
    </row>
    <row r="158" spans="1:32" s="68" customFormat="1" ht="12" x14ac:dyDescent="0.2">
      <c r="A158" s="167" t="s">
        <v>205</v>
      </c>
      <c r="B158" s="168">
        <v>3.4</v>
      </c>
      <c r="C158" s="168">
        <v>3.4</v>
      </c>
      <c r="D158" s="168">
        <v>3.4</v>
      </c>
      <c r="E158" s="168">
        <v>3.4</v>
      </c>
      <c r="F158" s="168">
        <v>3.4</v>
      </c>
      <c r="G158" s="168">
        <v>3.4</v>
      </c>
      <c r="H158" s="168">
        <v>3.3</v>
      </c>
      <c r="I158" s="168">
        <v>3</v>
      </c>
      <c r="J158" s="168">
        <v>2.7</v>
      </c>
      <c r="K158" s="168">
        <v>2.4</v>
      </c>
      <c r="L158" s="168">
        <v>2.2000000000000002</v>
      </c>
      <c r="M158" s="168">
        <v>2</v>
      </c>
      <c r="Q158" s="86"/>
      <c r="R158" s="86"/>
      <c r="S158" s="86"/>
      <c r="T158" s="86"/>
      <c r="U158" s="86"/>
      <c r="V158" s="86"/>
      <c r="W158" s="86"/>
      <c r="X158" s="86"/>
      <c r="Y158" s="86"/>
      <c r="Z158" s="86"/>
      <c r="AA158" s="86"/>
      <c r="AB158" s="86"/>
      <c r="AC158" s="86"/>
      <c r="AD158" s="86"/>
      <c r="AE158" s="86"/>
      <c r="AF158" s="86"/>
    </row>
    <row r="159" spans="1:32" s="68" customFormat="1" ht="12" x14ac:dyDescent="0.2">
      <c r="A159" s="167" t="s">
        <v>206</v>
      </c>
      <c r="B159" s="169">
        <v>37</v>
      </c>
      <c r="C159" s="169">
        <v>37</v>
      </c>
      <c r="D159" s="169">
        <v>37</v>
      </c>
      <c r="E159" s="169">
        <v>37</v>
      </c>
      <c r="F159" s="169">
        <v>37</v>
      </c>
      <c r="G159" s="169">
        <v>46</v>
      </c>
      <c r="H159" s="169">
        <v>46</v>
      </c>
      <c r="I159" s="169">
        <v>54</v>
      </c>
      <c r="J159" s="169">
        <v>61</v>
      </c>
      <c r="K159" s="169">
        <v>63</v>
      </c>
      <c r="L159" s="169">
        <v>76</v>
      </c>
      <c r="M159" s="169">
        <v>85</v>
      </c>
      <c r="Q159" s="86"/>
      <c r="R159" s="86"/>
      <c r="S159" s="86"/>
      <c r="T159" s="86"/>
      <c r="U159" s="86"/>
      <c r="V159" s="86"/>
      <c r="W159" s="86"/>
      <c r="X159" s="86"/>
      <c r="Y159" s="86"/>
      <c r="Z159" s="86"/>
      <c r="AA159" s="86"/>
      <c r="AB159" s="86"/>
      <c r="AC159" s="86"/>
      <c r="AD159" s="86"/>
      <c r="AE159" s="86"/>
      <c r="AF159" s="86"/>
    </row>
    <row r="160" spans="1:32" s="68" customFormat="1" ht="12" x14ac:dyDescent="0.2">
      <c r="A160" s="86" t="s">
        <v>207</v>
      </c>
      <c r="B160" s="168">
        <v>38.181818181818144</v>
      </c>
      <c r="C160" s="168">
        <v>38.181818181818144</v>
      </c>
      <c r="D160" s="168">
        <v>38.181818181818144</v>
      </c>
      <c r="E160" s="168">
        <v>38.181818181818144</v>
      </c>
      <c r="F160" s="168">
        <v>38.181818181818144</v>
      </c>
      <c r="G160" s="168">
        <v>38.181818181818144</v>
      </c>
      <c r="H160" s="168">
        <v>43.636363636363598</v>
      </c>
      <c r="I160" s="168">
        <v>59.999999999999943</v>
      </c>
      <c r="J160" s="168">
        <v>65.999999999999972</v>
      </c>
      <c r="K160" s="168">
        <v>72</v>
      </c>
      <c r="L160" s="168">
        <v>76.000000000000028</v>
      </c>
      <c r="M160" s="168">
        <v>80.000000000000043</v>
      </c>
      <c r="Q160" s="86"/>
      <c r="R160" s="86"/>
      <c r="S160" s="86"/>
      <c r="T160" s="86"/>
      <c r="U160" s="86"/>
      <c r="V160" s="86"/>
      <c r="W160" s="86"/>
      <c r="X160" s="86"/>
      <c r="Y160" s="86"/>
      <c r="Z160" s="86"/>
      <c r="AA160" s="86"/>
      <c r="AB160" s="86"/>
      <c r="AC160" s="86"/>
      <c r="AD160" s="86"/>
      <c r="AE160" s="86"/>
      <c r="AF160" s="86"/>
    </row>
    <row r="161" spans="1:32" s="68" customFormat="1" ht="12" x14ac:dyDescent="0.2">
      <c r="A161" s="167" t="s">
        <v>208</v>
      </c>
      <c r="B161" s="170" t="e">
        <f>ROUND(TREND($N$170:$N$173,#REF!,B158),2)</f>
        <v>#REF!</v>
      </c>
      <c r="C161" s="170" t="e">
        <f>ROUND(TREND($N$170:$N$173,#REF!,C158),2)</f>
        <v>#REF!</v>
      </c>
      <c r="D161" s="170" t="e">
        <f>ROUND(TREND($N$170:$N$173,#REF!,D158),2)</f>
        <v>#REF!</v>
      </c>
      <c r="E161" s="170" t="e">
        <f>ROUND(TREND($N$170:$N$173,#REF!,E158),2)</f>
        <v>#REF!</v>
      </c>
      <c r="F161" s="170" t="e">
        <f>ROUND(TREND($N$170:$N$173,#REF!,F158),2)</f>
        <v>#REF!</v>
      </c>
      <c r="G161" s="170" t="e">
        <f>ROUND(TREND($N$170:$N$173,#REF!,G158),2)</f>
        <v>#REF!</v>
      </c>
      <c r="H161" s="170" t="e">
        <f>ROUND(TREND($N$170:$N$173,#REF!,H158),2)</f>
        <v>#REF!</v>
      </c>
      <c r="I161" s="170" t="e">
        <f>ROUND(TREND($N$170:$N$173,#REF!,I158),2)</f>
        <v>#REF!</v>
      </c>
      <c r="J161" s="170" t="e">
        <f>ROUND(TREND($N$170:$N$173,#REF!,J158),2)</f>
        <v>#REF!</v>
      </c>
      <c r="K161" s="170" t="e">
        <f>ROUND(TREND($N$170:$N$173,#REF!,K158),2)</f>
        <v>#REF!</v>
      </c>
      <c r="L161" s="170" t="e">
        <f>ROUND(TREND($N$170:$N$173,#REF!,L158),2)</f>
        <v>#REF!</v>
      </c>
      <c r="M161" s="170" t="e">
        <f>ROUND(TREND($N$170:$N$173,#REF!,M158),2)</f>
        <v>#REF!</v>
      </c>
      <c r="Q161" s="86"/>
      <c r="R161" s="86"/>
      <c r="S161" s="86"/>
      <c r="T161" s="86"/>
      <c r="U161" s="86"/>
      <c r="V161" s="86"/>
      <c r="W161" s="86"/>
      <c r="X161" s="86"/>
      <c r="Y161" s="86"/>
      <c r="Z161" s="86"/>
      <c r="AA161" s="86"/>
      <c r="AB161" s="86"/>
      <c r="AC161" s="86"/>
      <c r="AD161" s="86"/>
      <c r="AE161" s="86"/>
      <c r="AF161" s="86"/>
    </row>
    <row r="169" spans="1:32" s="68" customFormat="1" x14ac:dyDescent="0.2">
      <c r="A169" s="86"/>
      <c r="B169" s="86"/>
      <c r="C169" s="86"/>
      <c r="D169" s="86"/>
      <c r="E169" s="86"/>
      <c r="F169" s="86"/>
      <c r="G169" s="86"/>
      <c r="H169" s="86"/>
      <c r="I169" s="86"/>
      <c r="J169" s="86"/>
      <c r="K169" s="86"/>
      <c r="L169" s="86"/>
      <c r="M169" s="86"/>
      <c r="N169" s="171"/>
      <c r="Q169" s="86"/>
      <c r="R169" s="86"/>
      <c r="S169" s="86"/>
      <c r="T169" s="86"/>
      <c r="U169" s="86"/>
      <c r="V169" s="86"/>
      <c r="W169" s="86"/>
      <c r="X169" s="86"/>
      <c r="Y169" s="86"/>
      <c r="Z169" s="86"/>
      <c r="AA169" s="86"/>
      <c r="AB169" s="86"/>
      <c r="AC169" s="86"/>
      <c r="AD169" s="86"/>
      <c r="AE169" s="86"/>
      <c r="AF169" s="86"/>
    </row>
    <row r="170" spans="1:32" s="68" customFormat="1" x14ac:dyDescent="0.2">
      <c r="A170" s="86"/>
      <c r="B170" s="86"/>
      <c r="C170" s="86"/>
      <c r="D170" s="86"/>
      <c r="E170" s="86"/>
      <c r="F170" s="86"/>
      <c r="G170" s="86"/>
      <c r="H170" s="86"/>
      <c r="I170" s="86"/>
      <c r="J170" s="86"/>
      <c r="K170" s="86"/>
      <c r="L170" s="86"/>
      <c r="M170" s="86"/>
      <c r="N170" s="172">
        <v>1</v>
      </c>
      <c r="Q170" s="86"/>
      <c r="R170" s="86"/>
      <c r="S170" s="86"/>
      <c r="T170" s="86"/>
      <c r="U170" s="86"/>
      <c r="V170" s="86"/>
      <c r="W170" s="86"/>
      <c r="X170" s="86"/>
      <c r="Y170" s="86"/>
      <c r="Z170" s="86"/>
      <c r="AA170" s="86"/>
      <c r="AB170" s="86"/>
      <c r="AC170" s="86"/>
      <c r="AD170" s="86"/>
      <c r="AE170" s="86"/>
      <c r="AF170" s="86"/>
    </row>
    <row r="171" spans="1:32" s="68" customFormat="1" x14ac:dyDescent="0.2">
      <c r="A171" s="86"/>
      <c r="B171" s="86"/>
      <c r="C171" s="86"/>
      <c r="D171" s="86"/>
      <c r="E171" s="86"/>
      <c r="F171" s="86"/>
      <c r="G171" s="86"/>
      <c r="H171" s="86"/>
      <c r="I171" s="86"/>
      <c r="J171" s="86"/>
      <c r="K171" s="86"/>
      <c r="L171" s="86"/>
      <c r="M171" s="86"/>
      <c r="N171" s="172">
        <v>0.8</v>
      </c>
      <c r="Q171" s="86"/>
      <c r="R171" s="86"/>
      <c r="S171" s="86"/>
      <c r="T171" s="86"/>
      <c r="U171" s="86"/>
      <c r="V171" s="86"/>
      <c r="W171" s="86"/>
      <c r="X171" s="86"/>
      <c r="Y171" s="86"/>
      <c r="Z171" s="86"/>
      <c r="AA171" s="86"/>
      <c r="AB171" s="86"/>
      <c r="AC171" s="86"/>
      <c r="AD171" s="86"/>
      <c r="AE171" s="86"/>
      <c r="AF171" s="86"/>
    </row>
    <row r="172" spans="1:32" s="68" customFormat="1" x14ac:dyDescent="0.2">
      <c r="A172" s="86"/>
      <c r="B172" s="86"/>
      <c r="C172" s="86"/>
      <c r="D172" s="86"/>
      <c r="E172" s="86"/>
      <c r="F172" s="86"/>
      <c r="G172" s="86"/>
      <c r="H172" s="86"/>
      <c r="I172" s="86"/>
      <c r="J172" s="86"/>
      <c r="K172" s="86"/>
      <c r="L172" s="86"/>
      <c r="M172" s="86"/>
      <c r="N172" s="172">
        <v>0.6</v>
      </c>
      <c r="Q172" s="86"/>
      <c r="R172" s="86"/>
      <c r="S172" s="86"/>
      <c r="T172" s="86"/>
      <c r="U172" s="86"/>
      <c r="V172" s="86"/>
      <c r="W172" s="86"/>
      <c r="X172" s="86"/>
      <c r="Y172" s="86"/>
      <c r="Z172" s="86"/>
      <c r="AA172" s="86"/>
      <c r="AB172" s="86"/>
      <c r="AC172" s="86"/>
      <c r="AD172" s="86"/>
      <c r="AE172" s="86"/>
      <c r="AF172" s="86"/>
    </row>
    <row r="173" spans="1:32" s="68" customFormat="1" x14ac:dyDescent="0.2">
      <c r="A173" s="86"/>
      <c r="B173" s="86"/>
      <c r="C173" s="86"/>
      <c r="D173" s="86"/>
      <c r="E173" s="86"/>
      <c r="F173" s="86"/>
      <c r="G173" s="86"/>
      <c r="H173" s="86"/>
      <c r="I173" s="86"/>
      <c r="J173" s="86"/>
      <c r="K173" s="86"/>
      <c r="L173" s="86"/>
      <c r="M173" s="86"/>
      <c r="N173" s="172">
        <v>0.3</v>
      </c>
      <c r="Q173" s="86"/>
      <c r="R173" s="86"/>
      <c r="S173" s="86"/>
      <c r="T173" s="86"/>
      <c r="U173" s="86"/>
      <c r="V173" s="86"/>
      <c r="W173" s="86"/>
      <c r="X173" s="86"/>
      <c r="Y173" s="86"/>
      <c r="Z173" s="86"/>
      <c r="AA173" s="86"/>
      <c r="AB173" s="86"/>
      <c r="AC173" s="86"/>
      <c r="AD173" s="86"/>
      <c r="AE173" s="86"/>
      <c r="AF173" s="86"/>
    </row>
  </sheetData>
  <dataConsolidate/>
  <mergeCells count="13">
    <mergeCell ref="A1:D1"/>
    <mergeCell ref="K16:M16"/>
    <mergeCell ref="A78:B78"/>
    <mergeCell ref="A79:B79"/>
    <mergeCell ref="B16:C16"/>
    <mergeCell ref="D16:F16"/>
    <mergeCell ref="G16:I16"/>
    <mergeCell ref="M1:N1"/>
    <mergeCell ref="B104:C104"/>
    <mergeCell ref="D104:E104"/>
    <mergeCell ref="F104:G104"/>
    <mergeCell ref="A96:B96"/>
    <mergeCell ref="A69:N69"/>
  </mergeCells>
  <phoneticPr fontId="5" type="noConversion"/>
  <conditionalFormatting sqref="B33:N34">
    <cfRule type="cellIs" dxfId="59" priority="46" stopIfTrue="1" operator="equal">
      <formula>B$35</formula>
    </cfRule>
  </conditionalFormatting>
  <conditionalFormatting sqref="B33:M33">
    <cfRule type="cellIs" dxfId="58" priority="45" stopIfTrue="1" operator="equal">
      <formula>B$35</formula>
    </cfRule>
  </conditionalFormatting>
  <conditionalFormatting sqref="N34">
    <cfRule type="cellIs" dxfId="57" priority="42" stopIfTrue="1" operator="equal">
      <formula>N$36</formula>
    </cfRule>
  </conditionalFormatting>
  <conditionalFormatting sqref="E106:E107">
    <cfRule type="cellIs" dxfId="56" priority="10" operator="equal">
      <formula>D106</formula>
    </cfRule>
  </conditionalFormatting>
  <conditionalFormatting sqref="E106:E107">
    <cfRule type="cellIs" dxfId="55" priority="6" operator="equal">
      <formula>D106</formula>
    </cfRule>
  </conditionalFormatting>
  <conditionalFormatting sqref="C106:C113">
    <cfRule type="cellIs" dxfId="54" priority="18" operator="equal">
      <formula>B106</formula>
    </cfRule>
  </conditionalFormatting>
  <conditionalFormatting sqref="D106:E113">
    <cfRule type="cellIs" dxfId="53" priority="17" operator="equal">
      <formula>C106</formula>
    </cfRule>
  </conditionalFormatting>
  <conditionalFormatting sqref="E106:E107">
    <cfRule type="cellIs" dxfId="52" priority="16" operator="equal">
      <formula>D106</formula>
    </cfRule>
  </conditionalFormatting>
  <conditionalFormatting sqref="F106">
    <cfRule type="cellIs" dxfId="51" priority="15" operator="equal">
      <formula>E106</formula>
    </cfRule>
  </conditionalFormatting>
  <conditionalFormatting sqref="F107:F113">
    <cfRule type="cellIs" dxfId="50" priority="13" operator="equal">
      <formula>G107</formula>
    </cfRule>
    <cfRule type="cellIs" dxfId="49" priority="14" operator="equal">
      <formula>E107</formula>
    </cfRule>
  </conditionalFormatting>
  <conditionalFormatting sqref="C106">
    <cfRule type="cellIs" dxfId="48" priority="12" operator="equal">
      <formula>B106</formula>
    </cfRule>
  </conditionalFormatting>
  <conditionalFormatting sqref="D106">
    <cfRule type="cellIs" dxfId="47" priority="11" operator="equal">
      <formula>C106</formula>
    </cfRule>
  </conditionalFormatting>
  <conditionalFormatting sqref="F106">
    <cfRule type="cellIs" dxfId="46" priority="9" operator="equal">
      <formula>E106</formula>
    </cfRule>
  </conditionalFormatting>
  <conditionalFormatting sqref="C106">
    <cfRule type="cellIs" dxfId="45" priority="8" operator="equal">
      <formula>B106</formula>
    </cfRule>
  </conditionalFormatting>
  <conditionalFormatting sqref="D106">
    <cfRule type="cellIs" dxfId="44" priority="7" operator="equal">
      <formula>C106</formula>
    </cfRule>
  </conditionalFormatting>
  <conditionalFormatting sqref="D114:E117">
    <cfRule type="cellIs" dxfId="43" priority="3" operator="equal">
      <formula>C114</formula>
    </cfRule>
  </conditionalFormatting>
  <conditionalFormatting sqref="F106">
    <cfRule type="cellIs" dxfId="42" priority="5" operator="equal">
      <formula>E106</formula>
    </cfRule>
  </conditionalFormatting>
  <conditionalFormatting sqref="C114:C117">
    <cfRule type="cellIs" dxfId="41" priority="4" operator="equal">
      <formula>B114</formula>
    </cfRule>
  </conditionalFormatting>
  <conditionalFormatting sqref="F114:F117">
    <cfRule type="cellIs" dxfId="40" priority="1" operator="equal">
      <formula>G114</formula>
    </cfRule>
    <cfRule type="cellIs" dxfId="39" priority="2" operator="equal">
      <formula>E114</formula>
    </cfRule>
  </conditionalFormatting>
  <hyperlinks>
    <hyperlink ref="I1" location="Inventory!A1" display="Inventory" xr:uid="{00000000-0004-0000-0300-000000000000}"/>
    <hyperlink ref="I104" location="'VAW E-2C FDNF DRRS(U)'!A1" display="Top" xr:uid="{00000000-0004-0000-0300-000001000000}"/>
    <hyperlink ref="I2" location="'VAW E-2C FDNF DRRS(U)'!A120" display="AMFOM" xr:uid="{00000000-0004-0000-0300-000002000000}"/>
    <hyperlink ref="I105" location="Inventory!A1" display="Inventory" xr:uid="{00000000-0004-0000-0300-000003000000}"/>
  </hyperlinks>
  <printOptions horizontalCentered="1"/>
  <pageMargins left="0.5" right="0.5" top="0.52" bottom="1" header="0.5" footer="0.5"/>
  <pageSetup paperSize="3" scale="70" orientation="landscape" r:id="rId1"/>
  <headerFooter alignWithMargins="0"/>
  <ignoredErrors>
    <ignoredError sqref="B54" formula="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AT183"/>
  <sheetViews>
    <sheetView showGridLines="0" topLeftCell="A25" workbookViewId="0">
      <selection activeCell="B39" sqref="B39:N46"/>
    </sheetView>
  </sheetViews>
  <sheetFormatPr defaultRowHeight="11.25" x14ac:dyDescent="0.2"/>
  <cols>
    <col min="1" max="1" width="45.5703125" style="86" bestFit="1" customWidth="1"/>
    <col min="2" max="13" width="5.7109375" style="86" customWidth="1"/>
    <col min="14" max="14" width="5.7109375" style="68" customWidth="1"/>
    <col min="15" max="15" width="6.28515625" style="68" customWidth="1"/>
    <col min="16" max="16" width="4.7109375" style="68" bestFit="1" customWidth="1"/>
    <col min="17" max="29" width="5.7109375" style="86" customWidth="1"/>
    <col min="30" max="16384" width="9.140625" style="86"/>
  </cols>
  <sheetData>
    <row r="1" spans="1:30" s="61" customFormat="1" ht="18.75" x14ac:dyDescent="0.3">
      <c r="A1" s="494" t="s">
        <v>209</v>
      </c>
      <c r="B1" s="494"/>
      <c r="C1" s="494"/>
      <c r="D1" s="494"/>
      <c r="E1" s="146"/>
      <c r="F1" s="146"/>
      <c r="H1" s="225" t="s">
        <v>46</v>
      </c>
      <c r="J1" s="147"/>
      <c r="K1" s="63" t="s">
        <v>47</v>
      </c>
      <c r="L1" s="502">
        <v>44835</v>
      </c>
      <c r="M1" s="502"/>
      <c r="N1" s="502"/>
      <c r="AC1" s="363" t="s">
        <v>48</v>
      </c>
      <c r="AD1" s="364">
        <v>2.02</v>
      </c>
    </row>
    <row r="2" spans="1:30" s="68" customFormat="1" ht="12.75" x14ac:dyDescent="0.2">
      <c r="A2" s="148" t="s">
        <v>182</v>
      </c>
      <c r="B2" s="149">
        <v>5</v>
      </c>
      <c r="C2" s="150"/>
      <c r="D2" s="150"/>
      <c r="E2" s="150"/>
      <c r="F2" s="150"/>
      <c r="G2" s="67"/>
      <c r="H2" s="405" t="s">
        <v>3</v>
      </c>
      <c r="I2" s="67"/>
      <c r="J2" s="67"/>
      <c r="K2" s="67"/>
      <c r="AC2" s="67"/>
    </row>
    <row r="3" spans="1:30" s="68" customFormat="1" x14ac:dyDescent="0.2">
      <c r="A3" s="148" t="s">
        <v>50</v>
      </c>
      <c r="B3" s="151">
        <v>1.2</v>
      </c>
      <c r="C3" s="150"/>
      <c r="D3" s="150"/>
      <c r="E3" s="150"/>
      <c r="F3" s="150"/>
      <c r="G3" s="67"/>
      <c r="H3" s="69"/>
      <c r="I3" s="69"/>
      <c r="J3" s="69"/>
      <c r="K3" s="69"/>
      <c r="AC3" s="67"/>
    </row>
    <row r="4" spans="1:30" s="68" customFormat="1" x14ac:dyDescent="0.2">
      <c r="A4" s="148" t="s">
        <v>51</v>
      </c>
      <c r="B4" s="149">
        <f>ROUND(B2*B3,0)</f>
        <v>6</v>
      </c>
      <c r="C4" s="150"/>
      <c r="D4" s="150"/>
      <c r="E4" s="150"/>
      <c r="F4" s="150"/>
      <c r="G4" s="67"/>
      <c r="I4" s="503"/>
      <c r="J4" s="503"/>
      <c r="K4" s="503"/>
      <c r="AC4" s="67"/>
    </row>
    <row r="5" spans="1:30" s="68" customFormat="1" x14ac:dyDescent="0.2">
      <c r="A5" s="148" t="s">
        <v>52</v>
      </c>
      <c r="B5" s="150">
        <v>1.5</v>
      </c>
      <c r="C5" s="152"/>
      <c r="D5" s="150"/>
      <c r="E5" s="150"/>
      <c r="F5" s="150"/>
      <c r="G5" s="67"/>
      <c r="H5" s="67"/>
      <c r="I5" s="503"/>
      <c r="J5" s="503"/>
      <c r="K5" s="503"/>
      <c r="AC5" s="67"/>
    </row>
    <row r="6" spans="1:30" s="68" customFormat="1" x14ac:dyDescent="0.2">
      <c r="A6" s="153" t="s">
        <v>53</v>
      </c>
      <c r="B6" s="150">
        <v>27.9</v>
      </c>
      <c r="C6" s="152"/>
      <c r="D6" s="150"/>
      <c r="E6" s="150"/>
      <c r="F6" s="150"/>
      <c r="G6" s="67"/>
      <c r="H6" s="67"/>
      <c r="I6" s="503"/>
      <c r="J6" s="503"/>
      <c r="K6" s="503"/>
      <c r="L6" s="67"/>
      <c r="M6" s="67"/>
      <c r="AC6" s="67"/>
    </row>
    <row r="7" spans="1:30" s="68" customFormat="1" x14ac:dyDescent="0.2">
      <c r="A7" s="148" t="s">
        <v>54</v>
      </c>
      <c r="B7" s="150">
        <f>B6*B4</f>
        <v>167.39999999999998</v>
      </c>
      <c r="E7" s="150"/>
      <c r="F7" s="150"/>
      <c r="G7" s="67"/>
      <c r="H7" s="67"/>
      <c r="I7" s="67"/>
      <c r="J7" s="67"/>
      <c r="K7" s="67"/>
      <c r="L7" s="67"/>
      <c r="M7" s="67"/>
      <c r="AC7" s="67"/>
    </row>
    <row r="8" spans="1:30" s="68" customFormat="1" x14ac:dyDescent="0.2">
      <c r="A8" s="148" t="s">
        <v>55</v>
      </c>
      <c r="B8" s="67">
        <f>B7/B5</f>
        <v>111.59999999999998</v>
      </c>
      <c r="C8" s="150"/>
      <c r="E8" s="150"/>
      <c r="F8" s="150"/>
      <c r="G8" s="67"/>
      <c r="H8" s="67"/>
      <c r="I8" s="67"/>
      <c r="J8" s="67"/>
      <c r="K8" s="67"/>
      <c r="L8" s="67"/>
      <c r="M8" s="67"/>
      <c r="AC8" s="67"/>
    </row>
    <row r="9" spans="1:30" s="68" customFormat="1" x14ac:dyDescent="0.2">
      <c r="A9" s="148" t="s">
        <v>56</v>
      </c>
      <c r="B9" s="150">
        <f>B4*C9</f>
        <v>6</v>
      </c>
      <c r="C9" s="150">
        <v>1</v>
      </c>
      <c r="D9" s="69" t="s">
        <v>57</v>
      </c>
      <c r="E9" s="150"/>
      <c r="F9" s="150"/>
      <c r="G9" s="8" t="s">
        <v>58</v>
      </c>
      <c r="H9" s="9">
        <v>0.4</v>
      </c>
      <c r="I9" s="73"/>
      <c r="J9" s="73"/>
      <c r="K9" s="73"/>
      <c r="L9" s="73"/>
      <c r="M9" s="73"/>
      <c r="N9" s="74"/>
      <c r="O9" s="74"/>
      <c r="P9" s="74"/>
      <c r="AC9" s="73"/>
    </row>
    <row r="10" spans="1:30" s="68" customFormat="1" x14ac:dyDescent="0.2">
      <c r="A10" s="148" t="s">
        <v>59</v>
      </c>
      <c r="B10" s="150">
        <f>B4*C10</f>
        <v>132.60000000000002</v>
      </c>
      <c r="C10" s="150">
        <v>22.1</v>
      </c>
      <c r="D10" s="69" t="s">
        <v>57</v>
      </c>
      <c r="E10" s="150"/>
      <c r="F10" s="150"/>
      <c r="G10" s="10" t="s">
        <v>60</v>
      </c>
      <c r="H10" s="9">
        <v>0.31900000000000001</v>
      </c>
      <c r="I10" s="69"/>
      <c r="J10" s="69"/>
      <c r="K10" s="69"/>
      <c r="L10" s="69"/>
      <c r="M10" s="69"/>
      <c r="AC10" s="69"/>
    </row>
    <row r="11" spans="1:30" s="68" customFormat="1" x14ac:dyDescent="0.2">
      <c r="A11" s="181" t="s">
        <v>61</v>
      </c>
      <c r="B11" s="182">
        <f>C11*B4</f>
        <v>18</v>
      </c>
      <c r="C11" s="183">
        <v>3</v>
      </c>
      <c r="D11" s="184" t="s">
        <v>57</v>
      </c>
      <c r="E11" s="150"/>
      <c r="F11" s="150"/>
      <c r="G11" s="10"/>
      <c r="H11" s="9"/>
      <c r="I11" s="69"/>
      <c r="J11" s="69"/>
      <c r="K11" s="69"/>
      <c r="L11" s="69"/>
      <c r="M11" s="69"/>
      <c r="AC11" s="69"/>
    </row>
    <row r="12" spans="1:30" s="68" customFormat="1" x14ac:dyDescent="0.2">
      <c r="C12" s="75"/>
      <c r="D12" s="73"/>
      <c r="E12" s="73"/>
      <c r="F12" s="73"/>
      <c r="G12" s="73"/>
      <c r="H12" s="73"/>
      <c r="I12" s="73"/>
      <c r="J12" s="73"/>
      <c r="K12" s="73"/>
      <c r="L12" s="73"/>
      <c r="M12" s="73"/>
      <c r="AC12" s="73"/>
    </row>
    <row r="13" spans="1:30" s="79" customFormat="1" ht="58.5" x14ac:dyDescent="0.2">
      <c r="A13" s="76" t="s">
        <v>62</v>
      </c>
      <c r="B13" s="154" t="s">
        <v>68</v>
      </c>
      <c r="C13" s="154" t="s">
        <v>68</v>
      </c>
      <c r="D13" s="154" t="s">
        <v>69</v>
      </c>
      <c r="E13" s="154" t="s">
        <v>69</v>
      </c>
      <c r="F13" s="154" t="s">
        <v>69</v>
      </c>
      <c r="G13" s="154" t="s">
        <v>68</v>
      </c>
      <c r="H13" s="154" t="s">
        <v>68</v>
      </c>
      <c r="I13" s="154" t="s">
        <v>68</v>
      </c>
      <c r="J13" s="154" t="s">
        <v>69</v>
      </c>
      <c r="K13" s="154" t="s">
        <v>69</v>
      </c>
      <c r="L13" s="154" t="s">
        <v>69</v>
      </c>
      <c r="M13" s="154" t="s">
        <v>69</v>
      </c>
      <c r="N13" s="23" t="s">
        <v>70</v>
      </c>
    </row>
    <row r="14" spans="1:30" s="79" customFormat="1" ht="12" x14ac:dyDescent="0.2">
      <c r="A14" s="76" t="s">
        <v>71</v>
      </c>
      <c r="B14" s="156" t="s">
        <v>88</v>
      </c>
      <c r="C14" s="156" t="s">
        <v>89</v>
      </c>
      <c r="D14" s="156" t="s">
        <v>74</v>
      </c>
      <c r="E14" s="156" t="s">
        <v>75</v>
      </c>
      <c r="F14" s="156" t="s">
        <v>76</v>
      </c>
      <c r="G14" s="156" t="s">
        <v>90</v>
      </c>
      <c r="H14" s="156" t="s">
        <v>91</v>
      </c>
      <c r="I14" s="156" t="s">
        <v>92</v>
      </c>
      <c r="J14" s="156" t="s">
        <v>80</v>
      </c>
      <c r="K14" s="156" t="s">
        <v>81</v>
      </c>
      <c r="L14" s="156" t="s">
        <v>82</v>
      </c>
      <c r="M14" s="156" t="s">
        <v>83</v>
      </c>
      <c r="N14" s="24" t="s">
        <v>98</v>
      </c>
    </row>
    <row r="15" spans="1:30" s="79" customFormat="1" ht="12" x14ac:dyDescent="0.2">
      <c r="A15" s="76" t="s">
        <v>99</v>
      </c>
      <c r="B15" s="156">
        <v>1</v>
      </c>
      <c r="C15" s="156">
        <v>2</v>
      </c>
      <c r="D15" s="156">
        <v>3</v>
      </c>
      <c r="E15" s="156">
        <v>4</v>
      </c>
      <c r="F15" s="156">
        <v>5</v>
      </c>
      <c r="G15" s="156">
        <v>6</v>
      </c>
      <c r="H15" s="156">
        <v>7</v>
      </c>
      <c r="I15" s="156">
        <v>8</v>
      </c>
      <c r="J15" s="156">
        <v>9</v>
      </c>
      <c r="K15" s="156">
        <v>10</v>
      </c>
      <c r="L15" s="156">
        <v>11</v>
      </c>
      <c r="M15" s="156">
        <v>12</v>
      </c>
      <c r="N15" s="24">
        <v>28</v>
      </c>
    </row>
    <row r="16" spans="1:30" s="82" customFormat="1" ht="12" x14ac:dyDescent="0.2">
      <c r="A16" s="76" t="s">
        <v>100</v>
      </c>
      <c r="B16" s="495" t="s">
        <v>68</v>
      </c>
      <c r="C16" s="497"/>
      <c r="D16" s="495" t="s">
        <v>69</v>
      </c>
      <c r="E16" s="496"/>
      <c r="F16" s="497"/>
      <c r="G16" s="495" t="s">
        <v>68</v>
      </c>
      <c r="H16" s="496"/>
      <c r="I16" s="497"/>
      <c r="J16" s="156" t="s">
        <v>69</v>
      </c>
      <c r="K16" s="495" t="s">
        <v>184</v>
      </c>
      <c r="L16" s="496"/>
      <c r="M16" s="497"/>
      <c r="N16" s="24" t="s">
        <v>105</v>
      </c>
    </row>
    <row r="17" spans="1:28" ht="12.75" x14ac:dyDescent="0.2">
      <c r="A17" s="83" t="s">
        <v>106</v>
      </c>
      <c r="B17" s="84"/>
      <c r="C17" s="85"/>
      <c r="D17" s="85"/>
      <c r="E17" s="85"/>
      <c r="F17" s="85"/>
      <c r="G17" s="85"/>
      <c r="H17" s="85"/>
      <c r="I17" s="85"/>
      <c r="J17" s="85"/>
      <c r="K17" s="85"/>
      <c r="L17" s="85"/>
      <c r="M17" s="157"/>
      <c r="N17" s="25"/>
      <c r="Q17" s="158"/>
      <c r="R17" s="158"/>
      <c r="S17" s="158"/>
      <c r="T17" s="158"/>
      <c r="U17" s="158"/>
      <c r="V17" s="158"/>
      <c r="W17" s="158"/>
      <c r="X17" s="158"/>
      <c r="Y17" s="158"/>
      <c r="Z17" s="158"/>
      <c r="AA17" s="158"/>
      <c r="AB17" s="158"/>
    </row>
    <row r="18" spans="1:28" ht="12" x14ac:dyDescent="0.2">
      <c r="A18" s="36" t="s">
        <v>107</v>
      </c>
      <c r="B18" s="26">
        <f>IF(B75&lt;80,B76,MIN(B75,80))</f>
        <v>80</v>
      </c>
      <c r="C18" s="26">
        <f t="shared" ref="C18:N18" si="0">IF(C75&lt;80,C76,MIN(C75,80))</f>
        <v>80</v>
      </c>
      <c r="D18" s="26">
        <f t="shared" si="0"/>
        <v>80</v>
      </c>
      <c r="E18" s="26">
        <f t="shared" si="0"/>
        <v>80</v>
      </c>
      <c r="F18" s="26">
        <f t="shared" si="0"/>
        <v>80</v>
      </c>
      <c r="G18" s="26">
        <f t="shared" si="0"/>
        <v>80</v>
      </c>
      <c r="H18" s="26">
        <f t="shared" si="0"/>
        <v>80</v>
      </c>
      <c r="I18" s="26">
        <f t="shared" si="0"/>
        <v>80</v>
      </c>
      <c r="J18" s="26">
        <f t="shared" si="0"/>
        <v>80</v>
      </c>
      <c r="K18" s="26">
        <f t="shared" si="0"/>
        <v>80</v>
      </c>
      <c r="L18" s="26">
        <f t="shared" si="0"/>
        <v>80</v>
      </c>
      <c r="M18" s="26">
        <f t="shared" si="0"/>
        <v>80</v>
      </c>
      <c r="N18" s="26">
        <f t="shared" si="0"/>
        <v>25.098281988201322</v>
      </c>
      <c r="Q18" s="158"/>
      <c r="R18" s="158"/>
      <c r="S18" s="158"/>
      <c r="T18" s="158"/>
      <c r="U18" s="158"/>
      <c r="V18" s="158"/>
      <c r="W18" s="158"/>
      <c r="X18" s="158"/>
      <c r="Y18" s="158"/>
      <c r="Z18" s="158"/>
      <c r="AA18" s="158"/>
      <c r="AB18" s="158"/>
    </row>
    <row r="19" spans="1:28" ht="12" x14ac:dyDescent="0.2">
      <c r="A19" s="1" t="s">
        <v>108</v>
      </c>
      <c r="B19" s="194">
        <v>0.8</v>
      </c>
      <c r="C19" s="194">
        <v>0.8</v>
      </c>
      <c r="D19" s="194">
        <v>0.6</v>
      </c>
      <c r="E19" s="194">
        <v>0.75</v>
      </c>
      <c r="F19" s="194">
        <v>0.75</v>
      </c>
      <c r="G19" s="194">
        <v>0.8</v>
      </c>
      <c r="H19" s="194">
        <v>0.8</v>
      </c>
      <c r="I19" s="194">
        <v>0.8</v>
      </c>
      <c r="J19" s="194">
        <v>0.6</v>
      </c>
      <c r="K19" s="194">
        <v>0.75</v>
      </c>
      <c r="L19" s="194">
        <v>0.75</v>
      </c>
      <c r="M19" s="194">
        <v>0.75</v>
      </c>
      <c r="N19" s="27">
        <v>0.4</v>
      </c>
    </row>
    <row r="20" spans="1:28" ht="12" x14ac:dyDescent="0.2">
      <c r="A20" s="185" t="s">
        <v>109</v>
      </c>
      <c r="B20" s="196"/>
      <c r="C20" s="197"/>
      <c r="D20" s="197"/>
      <c r="E20" s="197"/>
      <c r="F20" s="197"/>
      <c r="G20" s="197"/>
      <c r="H20" s="197"/>
      <c r="I20" s="197"/>
      <c r="J20" s="197"/>
      <c r="K20" s="197"/>
      <c r="L20" s="197"/>
      <c r="M20" s="198"/>
      <c r="N20" s="188"/>
    </row>
    <row r="21" spans="1:28" ht="12" x14ac:dyDescent="0.2">
      <c r="A21" s="2" t="s">
        <v>110</v>
      </c>
      <c r="B21" s="195">
        <f t="shared" ref="B21:M21" si="1">B19*$B$8</f>
        <v>89.279999999999987</v>
      </c>
      <c r="C21" s="195">
        <f t="shared" si="1"/>
        <v>89.279999999999987</v>
      </c>
      <c r="D21" s="195">
        <f t="shared" si="1"/>
        <v>66.95999999999998</v>
      </c>
      <c r="E21" s="195">
        <f t="shared" si="1"/>
        <v>83.699999999999989</v>
      </c>
      <c r="F21" s="195">
        <f t="shared" si="1"/>
        <v>83.699999999999989</v>
      </c>
      <c r="G21" s="195">
        <f t="shared" si="1"/>
        <v>89.279999999999987</v>
      </c>
      <c r="H21" s="195">
        <f t="shared" si="1"/>
        <v>89.279999999999987</v>
      </c>
      <c r="I21" s="195">
        <f t="shared" si="1"/>
        <v>89.279999999999987</v>
      </c>
      <c r="J21" s="195">
        <f t="shared" si="1"/>
        <v>66.95999999999998</v>
      </c>
      <c r="K21" s="195">
        <f t="shared" si="1"/>
        <v>83.699999999999989</v>
      </c>
      <c r="L21" s="195">
        <f t="shared" si="1"/>
        <v>83.699999999999989</v>
      </c>
      <c r="M21" s="195">
        <f t="shared" si="1"/>
        <v>83.699999999999989</v>
      </c>
      <c r="N21" s="11">
        <f>N19*$B$8</f>
        <v>44.639999999999993</v>
      </c>
    </row>
    <row r="22" spans="1:28" ht="12" x14ac:dyDescent="0.2">
      <c r="A22" s="2" t="s">
        <v>111</v>
      </c>
      <c r="B22" s="4">
        <f t="shared" ref="B22:N22" si="2">B21*$B$5</f>
        <v>133.91999999999999</v>
      </c>
      <c r="C22" s="4">
        <f t="shared" si="2"/>
        <v>133.91999999999999</v>
      </c>
      <c r="D22" s="4">
        <f t="shared" si="2"/>
        <v>100.43999999999997</v>
      </c>
      <c r="E22" s="4">
        <f t="shared" si="2"/>
        <v>125.54999999999998</v>
      </c>
      <c r="F22" s="4">
        <f t="shared" si="2"/>
        <v>125.54999999999998</v>
      </c>
      <c r="G22" s="4">
        <f t="shared" si="2"/>
        <v>133.91999999999999</v>
      </c>
      <c r="H22" s="4">
        <f t="shared" si="2"/>
        <v>133.91999999999999</v>
      </c>
      <c r="I22" s="4">
        <f t="shared" si="2"/>
        <v>133.91999999999999</v>
      </c>
      <c r="J22" s="4">
        <f t="shared" si="2"/>
        <v>100.43999999999997</v>
      </c>
      <c r="K22" s="4">
        <f t="shared" si="2"/>
        <v>125.54999999999998</v>
      </c>
      <c r="L22" s="4">
        <f t="shared" si="2"/>
        <v>125.54999999999998</v>
      </c>
      <c r="M22" s="4">
        <f t="shared" si="2"/>
        <v>125.54999999999998</v>
      </c>
      <c r="N22" s="4">
        <f t="shared" si="2"/>
        <v>66.959999999999994</v>
      </c>
    </row>
    <row r="23" spans="1:28" ht="12" x14ac:dyDescent="0.2">
      <c r="A23" s="2" t="s">
        <v>112</v>
      </c>
      <c r="B23" s="13">
        <f>$B$9</f>
        <v>6</v>
      </c>
      <c r="C23" s="13">
        <f t="shared" ref="C23:N23" si="3">$B$9</f>
        <v>6</v>
      </c>
      <c r="D23" s="13">
        <f t="shared" si="3"/>
        <v>6</v>
      </c>
      <c r="E23" s="13">
        <f t="shared" si="3"/>
        <v>6</v>
      </c>
      <c r="F23" s="13">
        <f t="shared" si="3"/>
        <v>6</v>
      </c>
      <c r="G23" s="13">
        <f t="shared" si="3"/>
        <v>6</v>
      </c>
      <c r="H23" s="13">
        <f t="shared" si="3"/>
        <v>6</v>
      </c>
      <c r="I23" s="13">
        <f t="shared" si="3"/>
        <v>6</v>
      </c>
      <c r="J23" s="13">
        <f t="shared" si="3"/>
        <v>6</v>
      </c>
      <c r="K23" s="13">
        <f t="shared" si="3"/>
        <v>6</v>
      </c>
      <c r="L23" s="13">
        <f t="shared" si="3"/>
        <v>6</v>
      </c>
      <c r="M23" s="13">
        <f t="shared" si="3"/>
        <v>6</v>
      </c>
      <c r="N23" s="13">
        <f t="shared" si="3"/>
        <v>6</v>
      </c>
    </row>
    <row r="24" spans="1:28" ht="12" x14ac:dyDescent="0.2">
      <c r="A24" s="2" t="s">
        <v>113</v>
      </c>
      <c r="B24" s="13">
        <f t="shared" ref="B24:M24" si="4">IF(ISBLANK(B101),0,$B$10)</f>
        <v>132.60000000000002</v>
      </c>
      <c r="C24" s="13">
        <f t="shared" si="4"/>
        <v>132.60000000000002</v>
      </c>
      <c r="D24" s="13">
        <f t="shared" si="4"/>
        <v>0</v>
      </c>
      <c r="E24" s="13">
        <f t="shared" si="4"/>
        <v>0</v>
      </c>
      <c r="F24" s="13">
        <f t="shared" si="4"/>
        <v>0</v>
      </c>
      <c r="G24" s="13">
        <f t="shared" si="4"/>
        <v>132.60000000000002</v>
      </c>
      <c r="H24" s="13">
        <f t="shared" si="4"/>
        <v>132.60000000000002</v>
      </c>
      <c r="I24" s="13">
        <f t="shared" si="4"/>
        <v>132.60000000000002</v>
      </c>
      <c r="J24" s="13">
        <f t="shared" si="4"/>
        <v>0</v>
      </c>
      <c r="K24" s="13">
        <f t="shared" si="4"/>
        <v>0</v>
      </c>
      <c r="L24" s="13">
        <f t="shared" si="4"/>
        <v>0</v>
      </c>
      <c r="M24" s="13">
        <f t="shared" si="4"/>
        <v>0</v>
      </c>
      <c r="N24" s="13">
        <f>IF(ISBLANK(#REF!),0,$B$10)</f>
        <v>132.60000000000002</v>
      </c>
    </row>
    <row r="25" spans="1:28" ht="12" x14ac:dyDescent="0.2">
      <c r="A25" s="2" t="s">
        <v>114</v>
      </c>
      <c r="B25" s="4">
        <f>B21*$B$5+SUM(B23:B24)</f>
        <v>272.52</v>
      </c>
      <c r="C25" s="4">
        <f t="shared" ref="C25:M25" si="5">C21*$B$5+SUM(C23:C24)</f>
        <v>272.52</v>
      </c>
      <c r="D25" s="4">
        <f t="shared" si="5"/>
        <v>106.43999999999997</v>
      </c>
      <c r="E25" s="4">
        <f t="shared" si="5"/>
        <v>131.54999999999998</v>
      </c>
      <c r="F25" s="4">
        <f t="shared" si="5"/>
        <v>131.54999999999998</v>
      </c>
      <c r="G25" s="4">
        <f t="shared" si="5"/>
        <v>272.52</v>
      </c>
      <c r="H25" s="4">
        <f t="shared" si="5"/>
        <v>272.52</v>
      </c>
      <c r="I25" s="4">
        <f t="shared" si="5"/>
        <v>272.52</v>
      </c>
      <c r="J25" s="4">
        <f t="shared" si="5"/>
        <v>106.43999999999997</v>
      </c>
      <c r="K25" s="4">
        <f t="shared" si="5"/>
        <v>131.54999999999998</v>
      </c>
      <c r="L25" s="4">
        <f t="shared" si="5"/>
        <v>131.54999999999998</v>
      </c>
      <c r="M25" s="4">
        <f t="shared" si="5"/>
        <v>131.54999999999998</v>
      </c>
      <c r="N25" s="4">
        <f>N21*$B$5+SUM(N23:N24)</f>
        <v>205.56</v>
      </c>
    </row>
    <row r="26" spans="1:28" ht="12" x14ac:dyDescent="0.2">
      <c r="A26" s="3" t="s">
        <v>115</v>
      </c>
      <c r="B26" s="5">
        <f t="shared" ref="B26:M26" si="6">-IF(ISBLANK(B100),0,MIN(B$22*$H$10,B$22-$B$7*$H$9))</f>
        <v>0</v>
      </c>
      <c r="C26" s="5">
        <f t="shared" si="6"/>
        <v>0</v>
      </c>
      <c r="D26" s="5">
        <f t="shared" si="6"/>
        <v>0</v>
      </c>
      <c r="E26" s="5">
        <f t="shared" si="6"/>
        <v>0</v>
      </c>
      <c r="F26" s="5">
        <f t="shared" si="6"/>
        <v>0</v>
      </c>
      <c r="G26" s="5">
        <f t="shared" si="6"/>
        <v>0</v>
      </c>
      <c r="H26" s="5">
        <f t="shared" si="6"/>
        <v>0</v>
      </c>
      <c r="I26" s="5">
        <f t="shared" si="6"/>
        <v>0</v>
      </c>
      <c r="J26" s="5">
        <f t="shared" si="6"/>
        <v>0</v>
      </c>
      <c r="K26" s="5">
        <f t="shared" si="6"/>
        <v>0</v>
      </c>
      <c r="L26" s="5">
        <f t="shared" si="6"/>
        <v>0</v>
      </c>
      <c r="M26" s="5">
        <f t="shared" si="6"/>
        <v>0</v>
      </c>
      <c r="N26" s="5">
        <f>-IF(ISBLANK(#REF!),0,MIN(N$22*$H$10,N$22-$B$7*$H$9))</f>
        <v>0</v>
      </c>
    </row>
    <row r="27" spans="1:28" ht="12" x14ac:dyDescent="0.2">
      <c r="A27" s="2" t="s">
        <v>116</v>
      </c>
      <c r="B27" s="5">
        <f t="shared" ref="B27:M27" si="7">SUM(B25:B26)</f>
        <v>272.52</v>
      </c>
      <c r="C27" s="5">
        <f t="shared" si="7"/>
        <v>272.52</v>
      </c>
      <c r="D27" s="5">
        <f t="shared" si="7"/>
        <v>106.43999999999997</v>
      </c>
      <c r="E27" s="5">
        <f t="shared" si="7"/>
        <v>131.54999999999998</v>
      </c>
      <c r="F27" s="5">
        <f t="shared" si="7"/>
        <v>131.54999999999998</v>
      </c>
      <c r="G27" s="5">
        <f t="shared" si="7"/>
        <v>272.52</v>
      </c>
      <c r="H27" s="5">
        <f t="shared" si="7"/>
        <v>272.52</v>
      </c>
      <c r="I27" s="5">
        <f t="shared" si="7"/>
        <v>272.52</v>
      </c>
      <c r="J27" s="5">
        <f t="shared" si="7"/>
        <v>106.43999999999997</v>
      </c>
      <c r="K27" s="5">
        <f t="shared" si="7"/>
        <v>131.54999999999998</v>
      </c>
      <c r="L27" s="5">
        <f t="shared" si="7"/>
        <v>131.54999999999998</v>
      </c>
      <c r="M27" s="5">
        <f t="shared" si="7"/>
        <v>131.54999999999998</v>
      </c>
      <c r="N27" s="5">
        <f>SUM(N25:N26)</f>
        <v>205.56</v>
      </c>
    </row>
    <row r="28" spans="1:28" ht="12" x14ac:dyDescent="0.2">
      <c r="A28" s="3" t="s">
        <v>117</v>
      </c>
      <c r="B28" s="89">
        <f>AVERAGE(L25:M25,B25)</f>
        <v>178.53999999999996</v>
      </c>
      <c r="C28" s="89">
        <f>AVERAGE(M25,B25:C25)</f>
        <v>225.52999999999997</v>
      </c>
      <c r="D28" s="89">
        <f t="shared" ref="D28:M28" si="8">AVERAGE(B25:D25)</f>
        <v>217.15999999999997</v>
      </c>
      <c r="E28" s="89">
        <f t="shared" si="8"/>
        <v>170.16999999999996</v>
      </c>
      <c r="F28" s="89">
        <f t="shared" si="8"/>
        <v>123.17999999999999</v>
      </c>
      <c r="G28" s="89">
        <f t="shared" si="8"/>
        <v>178.53999999999996</v>
      </c>
      <c r="H28" s="89">
        <f t="shared" si="8"/>
        <v>225.52999999999997</v>
      </c>
      <c r="I28" s="89">
        <f t="shared" si="8"/>
        <v>272.52</v>
      </c>
      <c r="J28" s="89">
        <f t="shared" si="8"/>
        <v>217.15999999999997</v>
      </c>
      <c r="K28" s="89">
        <f t="shared" si="8"/>
        <v>170.16999999999996</v>
      </c>
      <c r="L28" s="89">
        <f t="shared" si="8"/>
        <v>123.17999999999999</v>
      </c>
      <c r="M28" s="89">
        <f t="shared" si="8"/>
        <v>131.54999999999998</v>
      </c>
      <c r="N28" s="5">
        <f>N27</f>
        <v>205.56</v>
      </c>
    </row>
    <row r="29" spans="1:28" ht="12" x14ac:dyDescent="0.2">
      <c r="A29" s="189" t="s">
        <v>118</v>
      </c>
      <c r="B29" s="6"/>
      <c r="C29" s="180"/>
      <c r="D29" s="180"/>
      <c r="E29" s="180"/>
      <c r="F29" s="180"/>
      <c r="G29" s="180"/>
      <c r="H29" s="180"/>
      <c r="I29" s="180"/>
      <c r="J29" s="180"/>
      <c r="K29" s="180"/>
      <c r="L29" s="180"/>
      <c r="M29" s="193"/>
      <c r="N29" s="192"/>
    </row>
    <row r="30" spans="1:28" ht="12" x14ac:dyDescent="0.2">
      <c r="A30" s="3" t="s">
        <v>119</v>
      </c>
      <c r="B30" s="5">
        <f t="shared" ref="B30:N30" si="9">IF(ISBLANK(B100),0,$B$11)</f>
        <v>0</v>
      </c>
      <c r="C30" s="5">
        <f t="shared" si="9"/>
        <v>0</v>
      </c>
      <c r="D30" s="5">
        <f t="shared" si="9"/>
        <v>0</v>
      </c>
      <c r="E30" s="5">
        <f t="shared" si="9"/>
        <v>0</v>
      </c>
      <c r="F30" s="5">
        <f t="shared" si="9"/>
        <v>0</v>
      </c>
      <c r="G30" s="5">
        <f t="shared" si="9"/>
        <v>0</v>
      </c>
      <c r="H30" s="5">
        <f t="shared" si="9"/>
        <v>0</v>
      </c>
      <c r="I30" s="5">
        <f t="shared" si="9"/>
        <v>0</v>
      </c>
      <c r="J30" s="5">
        <f t="shared" si="9"/>
        <v>0</v>
      </c>
      <c r="K30" s="5">
        <f t="shared" si="9"/>
        <v>0</v>
      </c>
      <c r="L30" s="5">
        <f t="shared" si="9"/>
        <v>0</v>
      </c>
      <c r="M30" s="5">
        <f t="shared" si="9"/>
        <v>0</v>
      </c>
      <c r="N30" s="4">
        <f t="shared" si="9"/>
        <v>18</v>
      </c>
    </row>
    <row r="31" spans="1:28" s="94" customFormat="1" ht="12.75" x14ac:dyDescent="0.2">
      <c r="A31" s="91" t="s">
        <v>120</v>
      </c>
      <c r="B31" s="88"/>
      <c r="C31" s="92"/>
      <c r="D31" s="92"/>
      <c r="E31" s="92"/>
      <c r="F31" s="92"/>
      <c r="G31" s="92"/>
      <c r="H31" s="92"/>
      <c r="I31" s="92"/>
      <c r="J31" s="92"/>
      <c r="K31" s="92"/>
      <c r="L31" s="92"/>
      <c r="M31" s="159"/>
      <c r="N31" s="28"/>
      <c r="O31" s="93"/>
      <c r="P31" s="93"/>
    </row>
    <row r="32" spans="1:28" s="94" customFormat="1" ht="12" x14ac:dyDescent="0.2">
      <c r="A32" s="287" t="s">
        <v>121</v>
      </c>
      <c r="B32" s="87">
        <v>1</v>
      </c>
      <c r="C32" s="87">
        <v>1</v>
      </c>
      <c r="D32" s="87">
        <v>1</v>
      </c>
      <c r="E32" s="87">
        <v>1</v>
      </c>
      <c r="F32" s="87">
        <v>1</v>
      </c>
      <c r="G32" s="87">
        <v>1</v>
      </c>
      <c r="H32" s="87">
        <v>1</v>
      </c>
      <c r="I32" s="87">
        <v>1</v>
      </c>
      <c r="J32" s="87">
        <v>1</v>
      </c>
      <c r="K32" s="87">
        <v>1</v>
      </c>
      <c r="L32" s="87">
        <v>1</v>
      </c>
      <c r="M32" s="87">
        <v>1</v>
      </c>
      <c r="N32" s="27">
        <v>1</v>
      </c>
      <c r="O32" s="93"/>
      <c r="P32" s="93"/>
    </row>
    <row r="33" spans="1:30" s="94" customFormat="1" ht="12" x14ac:dyDescent="0.2">
      <c r="A33" s="287" t="s">
        <v>122</v>
      </c>
      <c r="B33" s="96">
        <v>0.8</v>
      </c>
      <c r="C33" s="96">
        <v>0.8</v>
      </c>
      <c r="D33" s="96">
        <v>0.8</v>
      </c>
      <c r="E33" s="96">
        <v>0.8</v>
      </c>
      <c r="F33" s="96">
        <v>0.8</v>
      </c>
      <c r="G33" s="96">
        <v>0.8</v>
      </c>
      <c r="H33" s="96">
        <v>0.8</v>
      </c>
      <c r="I33" s="96">
        <v>0.8</v>
      </c>
      <c r="J33" s="96">
        <v>0.8</v>
      </c>
      <c r="K33" s="96">
        <v>0.8</v>
      </c>
      <c r="L33" s="96">
        <v>0.8</v>
      </c>
      <c r="M33" s="96">
        <v>0.8</v>
      </c>
      <c r="N33" s="31">
        <v>0.8</v>
      </c>
      <c r="O33" s="93"/>
      <c r="P33" s="93"/>
    </row>
    <row r="34" spans="1:30" s="94" customFormat="1" ht="12" x14ac:dyDescent="0.2">
      <c r="A34" s="287" t="s">
        <v>123</v>
      </c>
      <c r="B34" s="96">
        <f t="shared" ref="B34:N34" si="10">((B36*$B$122)/$B$2)</f>
        <v>0.67548655759817544</v>
      </c>
      <c r="C34" s="96">
        <f t="shared" si="10"/>
        <v>0.67548655759817544</v>
      </c>
      <c r="D34" s="96">
        <f t="shared" si="10"/>
        <v>0.67548655759817544</v>
      </c>
      <c r="E34" s="96">
        <f t="shared" si="10"/>
        <v>0.67548655759817544</v>
      </c>
      <c r="F34" s="96">
        <f t="shared" si="10"/>
        <v>0.67548655759817544</v>
      </c>
      <c r="G34" s="96">
        <f t="shared" si="10"/>
        <v>0.67548655759817544</v>
      </c>
      <c r="H34" s="96">
        <f t="shared" si="10"/>
        <v>0.67548655759817544</v>
      </c>
      <c r="I34" s="96">
        <f t="shared" si="10"/>
        <v>0.67548655759817544</v>
      </c>
      <c r="J34" s="96">
        <f t="shared" si="10"/>
        <v>0.67548655759817544</v>
      </c>
      <c r="K34" s="96">
        <f t="shared" si="10"/>
        <v>0.67548655759817544</v>
      </c>
      <c r="L34" s="96">
        <f t="shared" si="10"/>
        <v>0.67548655759817544</v>
      </c>
      <c r="M34" s="96">
        <f t="shared" si="10"/>
        <v>0.67548655759817544</v>
      </c>
      <c r="N34" s="96">
        <f t="shared" si="10"/>
        <v>0.67548655759817544</v>
      </c>
      <c r="O34" s="93"/>
      <c r="P34" s="93"/>
    </row>
    <row r="35" spans="1:30" ht="12" x14ac:dyDescent="0.2">
      <c r="A35" s="2" t="s">
        <v>124</v>
      </c>
      <c r="B35" s="98">
        <f t="shared" ref="B35:N35" si="11">ROUND($B$2*B$32,2)</f>
        <v>5</v>
      </c>
      <c r="C35" s="98">
        <f t="shared" si="11"/>
        <v>5</v>
      </c>
      <c r="D35" s="98">
        <f t="shared" si="11"/>
        <v>5</v>
      </c>
      <c r="E35" s="98">
        <f t="shared" si="11"/>
        <v>5</v>
      </c>
      <c r="F35" s="98">
        <f t="shared" si="11"/>
        <v>5</v>
      </c>
      <c r="G35" s="98">
        <f t="shared" si="11"/>
        <v>5</v>
      </c>
      <c r="H35" s="98">
        <f t="shared" si="11"/>
        <v>5</v>
      </c>
      <c r="I35" s="98">
        <f t="shared" si="11"/>
        <v>5</v>
      </c>
      <c r="J35" s="98">
        <f t="shared" si="11"/>
        <v>5</v>
      </c>
      <c r="K35" s="98">
        <f t="shared" si="11"/>
        <v>5</v>
      </c>
      <c r="L35" s="98">
        <f t="shared" si="11"/>
        <v>5</v>
      </c>
      <c r="M35" s="98">
        <f t="shared" si="11"/>
        <v>5</v>
      </c>
      <c r="N35" s="26">
        <f t="shared" si="11"/>
        <v>5</v>
      </c>
      <c r="O35" s="69"/>
    </row>
    <row r="36" spans="1:30" s="68" customFormat="1" ht="12" x14ac:dyDescent="0.2">
      <c r="A36" s="2" t="s">
        <v>125</v>
      </c>
      <c r="B36" s="221">
        <f t="shared" ref="B36:N36" si="12">ROUND(MIN(4,$B$2*B$33),2)</f>
        <v>4</v>
      </c>
      <c r="C36" s="221">
        <f t="shared" si="12"/>
        <v>4</v>
      </c>
      <c r="D36" s="221">
        <f t="shared" si="12"/>
        <v>4</v>
      </c>
      <c r="E36" s="221">
        <f t="shared" si="12"/>
        <v>4</v>
      </c>
      <c r="F36" s="221">
        <f t="shared" si="12"/>
        <v>4</v>
      </c>
      <c r="G36" s="221">
        <f t="shared" si="12"/>
        <v>4</v>
      </c>
      <c r="H36" s="221">
        <f t="shared" si="12"/>
        <v>4</v>
      </c>
      <c r="I36" s="221">
        <f t="shared" si="12"/>
        <v>4</v>
      </c>
      <c r="J36" s="221">
        <f t="shared" si="12"/>
        <v>4</v>
      </c>
      <c r="K36" s="221">
        <f t="shared" si="12"/>
        <v>4</v>
      </c>
      <c r="L36" s="221">
        <f t="shared" si="12"/>
        <v>4</v>
      </c>
      <c r="M36" s="221">
        <f t="shared" si="12"/>
        <v>4</v>
      </c>
      <c r="N36" s="221">
        <f t="shared" si="12"/>
        <v>4</v>
      </c>
      <c r="O36" s="211"/>
    </row>
    <row r="37" spans="1:30" s="68" customFormat="1" ht="12" x14ac:dyDescent="0.2">
      <c r="A37" s="389" t="s">
        <v>126</v>
      </c>
      <c r="B37" s="399">
        <f>B34*$B$2</f>
        <v>3.3774327879908772</v>
      </c>
      <c r="C37" s="399">
        <f t="shared" ref="C37:N37" si="13">C34*$B$2</f>
        <v>3.3774327879908772</v>
      </c>
      <c r="D37" s="399">
        <f t="shared" si="13"/>
        <v>3.3774327879908772</v>
      </c>
      <c r="E37" s="399">
        <f t="shared" si="13"/>
        <v>3.3774327879908772</v>
      </c>
      <c r="F37" s="399">
        <f t="shared" si="13"/>
        <v>3.3774327879908772</v>
      </c>
      <c r="G37" s="399">
        <f t="shared" si="13"/>
        <v>3.3774327879908772</v>
      </c>
      <c r="H37" s="399">
        <f t="shared" si="13"/>
        <v>3.3774327879908772</v>
      </c>
      <c r="I37" s="399">
        <f t="shared" si="13"/>
        <v>3.3774327879908772</v>
      </c>
      <c r="J37" s="399">
        <f t="shared" si="13"/>
        <v>3.3774327879908772</v>
      </c>
      <c r="K37" s="399">
        <f t="shared" si="13"/>
        <v>3.3774327879908772</v>
      </c>
      <c r="L37" s="399">
        <f t="shared" si="13"/>
        <v>3.3774327879908772</v>
      </c>
      <c r="M37" s="399">
        <f t="shared" si="13"/>
        <v>3.3774327879908772</v>
      </c>
      <c r="N37" s="399">
        <f t="shared" si="13"/>
        <v>3.3774327879908772</v>
      </c>
      <c r="O37" s="211"/>
    </row>
    <row r="38" spans="1:30" s="68" customFormat="1" ht="12" x14ac:dyDescent="0.2">
      <c r="A38" s="226" t="s">
        <v>127</v>
      </c>
      <c r="B38" s="99"/>
      <c r="C38" s="228"/>
      <c r="D38" s="228"/>
      <c r="E38" s="228"/>
      <c r="F38" s="228"/>
      <c r="G38" s="228"/>
      <c r="H38" s="228"/>
      <c r="I38" s="228"/>
      <c r="J38" s="228"/>
      <c r="K38" s="228"/>
      <c r="L38" s="228"/>
      <c r="M38" s="228"/>
      <c r="N38" s="229"/>
      <c r="O38" s="211"/>
    </row>
    <row r="39" spans="1:30" s="69" customFormat="1" ht="12" x14ac:dyDescent="0.2">
      <c r="A39" s="100" t="s">
        <v>128</v>
      </c>
      <c r="B39" s="400">
        <f>B$36*$B123</f>
        <v>3.0704993581726288</v>
      </c>
      <c r="C39" s="400">
        <f>C$36*$B123</f>
        <v>3.0704993581726288</v>
      </c>
      <c r="D39" s="400">
        <f t="shared" ref="D39:N39" si="14">D$36*$B123</f>
        <v>3.0704993581726288</v>
      </c>
      <c r="E39" s="400">
        <f t="shared" si="14"/>
        <v>3.0704993581726288</v>
      </c>
      <c r="F39" s="400">
        <f t="shared" si="14"/>
        <v>3.0704993581726288</v>
      </c>
      <c r="G39" s="400">
        <f t="shared" si="14"/>
        <v>3.0704993581726288</v>
      </c>
      <c r="H39" s="400">
        <f t="shared" si="14"/>
        <v>3.0704993581726288</v>
      </c>
      <c r="I39" s="400">
        <f t="shared" si="14"/>
        <v>3.0704993581726288</v>
      </c>
      <c r="J39" s="400">
        <f t="shared" si="14"/>
        <v>3.0704993581726288</v>
      </c>
      <c r="K39" s="400">
        <f t="shared" si="14"/>
        <v>3.0704993581726288</v>
      </c>
      <c r="L39" s="400">
        <f t="shared" si="14"/>
        <v>3.0704993581726288</v>
      </c>
      <c r="M39" s="400">
        <f t="shared" si="14"/>
        <v>3.0704993581726288</v>
      </c>
      <c r="N39" s="400">
        <f t="shared" si="14"/>
        <v>3.0704993581726288</v>
      </c>
      <c r="O39" s="160"/>
    </row>
    <row r="40" spans="1:30" s="69" customFormat="1" ht="12" x14ac:dyDescent="0.2">
      <c r="A40" s="100" t="s">
        <v>129</v>
      </c>
      <c r="B40" s="400">
        <f t="shared" ref="B40:N44" si="15">B$36*$B124</f>
        <v>1.5907274221469547</v>
      </c>
      <c r="C40" s="400">
        <f t="shared" si="15"/>
        <v>1.5907274221469547</v>
      </c>
      <c r="D40" s="400">
        <f t="shared" si="15"/>
        <v>1.5907274221469547</v>
      </c>
      <c r="E40" s="400">
        <f t="shared" si="15"/>
        <v>1.5907274221469547</v>
      </c>
      <c r="F40" s="400">
        <f t="shared" si="15"/>
        <v>1.5907274221469547</v>
      </c>
      <c r="G40" s="400">
        <f t="shared" si="15"/>
        <v>1.5907274221469547</v>
      </c>
      <c r="H40" s="400">
        <f t="shared" si="15"/>
        <v>1.5907274221469547</v>
      </c>
      <c r="I40" s="400">
        <f t="shared" si="15"/>
        <v>1.5907274221469547</v>
      </c>
      <c r="J40" s="400">
        <f t="shared" si="15"/>
        <v>1.5907274221469547</v>
      </c>
      <c r="K40" s="400">
        <f t="shared" si="15"/>
        <v>1.5907274221469547</v>
      </c>
      <c r="L40" s="400">
        <f t="shared" si="15"/>
        <v>1.5907274221469547</v>
      </c>
      <c r="M40" s="400">
        <f t="shared" si="15"/>
        <v>1.5907274221469547</v>
      </c>
      <c r="N40" s="400">
        <f t="shared" si="15"/>
        <v>1.5907274221469547</v>
      </c>
      <c r="O40" s="160"/>
    </row>
    <row r="41" spans="1:30" s="69" customFormat="1" ht="12" x14ac:dyDescent="0.2">
      <c r="A41" s="100" t="s">
        <v>130</v>
      </c>
      <c r="B41" s="400">
        <f t="shared" si="15"/>
        <v>3.0617990058000029</v>
      </c>
      <c r="C41" s="400">
        <f t="shared" si="15"/>
        <v>3.0617990058000029</v>
      </c>
      <c r="D41" s="400">
        <f t="shared" si="15"/>
        <v>3.0617990058000029</v>
      </c>
      <c r="E41" s="400">
        <f t="shared" si="15"/>
        <v>3.0617990058000029</v>
      </c>
      <c r="F41" s="400">
        <f t="shared" si="15"/>
        <v>3.0617990058000029</v>
      </c>
      <c r="G41" s="400">
        <f t="shared" si="15"/>
        <v>3.0617990058000029</v>
      </c>
      <c r="H41" s="400">
        <f t="shared" si="15"/>
        <v>3.0617990058000029</v>
      </c>
      <c r="I41" s="400">
        <f t="shared" si="15"/>
        <v>3.0617990058000029</v>
      </c>
      <c r="J41" s="400">
        <f t="shared" si="15"/>
        <v>3.0617990058000029</v>
      </c>
      <c r="K41" s="400">
        <f t="shared" si="15"/>
        <v>3.0617990058000029</v>
      </c>
      <c r="L41" s="400">
        <f t="shared" si="15"/>
        <v>3.0617990058000029</v>
      </c>
      <c r="M41" s="400">
        <f t="shared" si="15"/>
        <v>3.0617990058000029</v>
      </c>
      <c r="N41" s="400">
        <f t="shared" si="15"/>
        <v>3.0617990058000029</v>
      </c>
      <c r="O41" s="160"/>
    </row>
    <row r="42" spans="1:30" s="69" customFormat="1" ht="12" x14ac:dyDescent="0.2">
      <c r="A42" s="100" t="s">
        <v>131</v>
      </c>
      <c r="B42" s="400">
        <f t="shared" si="15"/>
        <v>3.0443983010547506</v>
      </c>
      <c r="C42" s="400">
        <f t="shared" si="15"/>
        <v>3.0443983010547506</v>
      </c>
      <c r="D42" s="400">
        <f t="shared" si="15"/>
        <v>3.0443983010547506</v>
      </c>
      <c r="E42" s="400">
        <f t="shared" si="15"/>
        <v>3.0443983010547506</v>
      </c>
      <c r="F42" s="400">
        <f t="shared" si="15"/>
        <v>3.0443983010547506</v>
      </c>
      <c r="G42" s="400">
        <f t="shared" si="15"/>
        <v>3.0443983010547506</v>
      </c>
      <c r="H42" s="400">
        <f t="shared" si="15"/>
        <v>3.0443983010547506</v>
      </c>
      <c r="I42" s="400">
        <f t="shared" si="15"/>
        <v>3.0443983010547506</v>
      </c>
      <c r="J42" s="400">
        <f t="shared" si="15"/>
        <v>3.0443983010547506</v>
      </c>
      <c r="K42" s="400">
        <f t="shared" si="15"/>
        <v>3.0443983010547506</v>
      </c>
      <c r="L42" s="400">
        <f t="shared" si="15"/>
        <v>3.0443983010547506</v>
      </c>
      <c r="M42" s="400">
        <f t="shared" si="15"/>
        <v>3.0443983010547506</v>
      </c>
      <c r="N42" s="400">
        <f t="shared" si="15"/>
        <v>3.0443983010547506</v>
      </c>
      <c r="O42" s="160"/>
    </row>
    <row r="43" spans="1:30" s="69" customFormat="1" ht="12" x14ac:dyDescent="0.2">
      <c r="A43" s="100" t="s">
        <v>132</v>
      </c>
      <c r="B43" s="400">
        <f t="shared" si="15"/>
        <v>1.5907274221469547</v>
      </c>
      <c r="C43" s="400">
        <f t="shared" si="15"/>
        <v>1.5907274221469547</v>
      </c>
      <c r="D43" s="400">
        <f t="shared" si="15"/>
        <v>1.5907274221469547</v>
      </c>
      <c r="E43" s="400">
        <f t="shared" si="15"/>
        <v>1.5907274221469547</v>
      </c>
      <c r="F43" s="400">
        <f t="shared" si="15"/>
        <v>1.5907274221469547</v>
      </c>
      <c r="G43" s="400">
        <f t="shared" si="15"/>
        <v>1.5907274221469547</v>
      </c>
      <c r="H43" s="400">
        <f t="shared" si="15"/>
        <v>1.5907274221469547</v>
      </c>
      <c r="I43" s="400">
        <f t="shared" si="15"/>
        <v>1.5907274221469547</v>
      </c>
      <c r="J43" s="400">
        <f t="shared" si="15"/>
        <v>1.5907274221469547</v>
      </c>
      <c r="K43" s="400">
        <f t="shared" si="15"/>
        <v>1.5907274221469547</v>
      </c>
      <c r="L43" s="400">
        <f t="shared" si="15"/>
        <v>1.5907274221469547</v>
      </c>
      <c r="M43" s="400">
        <f t="shared" si="15"/>
        <v>1.5907274221469547</v>
      </c>
      <c r="N43" s="400">
        <f t="shared" si="15"/>
        <v>1.5907274221469547</v>
      </c>
      <c r="O43" s="359"/>
      <c r="P43" s="359"/>
      <c r="Q43" s="359"/>
      <c r="R43" s="359"/>
      <c r="S43" s="359"/>
      <c r="T43" s="359"/>
      <c r="U43" s="359"/>
      <c r="V43" s="359"/>
      <c r="W43" s="359"/>
      <c r="X43" s="359"/>
      <c r="Y43" s="359"/>
      <c r="Z43" s="359"/>
      <c r="AA43" s="359"/>
      <c r="AB43" s="359"/>
      <c r="AC43" s="359"/>
      <c r="AD43" s="211"/>
    </row>
    <row r="44" spans="1:30" s="69" customFormat="1" ht="12" x14ac:dyDescent="0.2">
      <c r="A44" s="100" t="s">
        <v>133</v>
      </c>
      <c r="B44" s="400">
        <f t="shared" si="15"/>
        <v>3.0704993581726288</v>
      </c>
      <c r="C44" s="400">
        <f t="shared" si="15"/>
        <v>3.0704993581726288</v>
      </c>
      <c r="D44" s="400">
        <f t="shared" si="15"/>
        <v>3.0704993581726288</v>
      </c>
      <c r="E44" s="400">
        <f t="shared" si="15"/>
        <v>3.0704993581726288</v>
      </c>
      <c r="F44" s="400">
        <f t="shared" si="15"/>
        <v>3.0704993581726288</v>
      </c>
      <c r="G44" s="400">
        <f t="shared" si="15"/>
        <v>3.0704993581726288</v>
      </c>
      <c r="H44" s="400">
        <f t="shared" si="15"/>
        <v>3.0704993581726288</v>
      </c>
      <c r="I44" s="400">
        <f t="shared" si="15"/>
        <v>3.0704993581726288</v>
      </c>
      <c r="J44" s="400">
        <f t="shared" si="15"/>
        <v>3.0704993581726288</v>
      </c>
      <c r="K44" s="400">
        <f t="shared" si="15"/>
        <v>3.0704993581726288</v>
      </c>
      <c r="L44" s="400">
        <f t="shared" si="15"/>
        <v>3.0704993581726288</v>
      </c>
      <c r="M44" s="400">
        <f t="shared" si="15"/>
        <v>3.0704993581726288</v>
      </c>
      <c r="N44" s="400">
        <f t="shared" si="15"/>
        <v>3.0704993581726288</v>
      </c>
      <c r="O44" s="160"/>
    </row>
    <row r="45" spans="1:30" s="69" customFormat="1" ht="12" x14ac:dyDescent="0.2">
      <c r="A45" s="100" t="s">
        <v>134</v>
      </c>
      <c r="B45" s="400">
        <f t="shared" ref="B45:N45" si="16">IF(B13="Deploy", B$36,B$36*$B129)</f>
        <v>4</v>
      </c>
      <c r="C45" s="400">
        <f t="shared" si="16"/>
        <v>4</v>
      </c>
      <c r="D45" s="400">
        <f t="shared" si="16"/>
        <v>1.5907274221469547</v>
      </c>
      <c r="E45" s="400">
        <f t="shared" si="16"/>
        <v>1.5907274221469547</v>
      </c>
      <c r="F45" s="400">
        <f t="shared" si="16"/>
        <v>1.5907274221469547</v>
      </c>
      <c r="G45" s="400">
        <f t="shared" si="16"/>
        <v>4</v>
      </c>
      <c r="H45" s="400">
        <f t="shared" si="16"/>
        <v>4</v>
      </c>
      <c r="I45" s="400">
        <f t="shared" si="16"/>
        <v>4</v>
      </c>
      <c r="J45" s="400">
        <f t="shared" si="16"/>
        <v>1.5907274221469547</v>
      </c>
      <c r="K45" s="400">
        <f t="shared" si="16"/>
        <v>1.5907274221469547</v>
      </c>
      <c r="L45" s="400">
        <f t="shared" si="16"/>
        <v>1.5907274221469547</v>
      </c>
      <c r="M45" s="400">
        <f t="shared" si="16"/>
        <v>1.5907274221469547</v>
      </c>
      <c r="N45" s="400">
        <f t="shared" si="16"/>
        <v>1.5907274221469547</v>
      </c>
      <c r="O45" s="160"/>
    </row>
    <row r="46" spans="1:30" s="69" customFormat="1" ht="12.75" x14ac:dyDescent="0.2">
      <c r="A46" s="332" t="s">
        <v>135</v>
      </c>
      <c r="B46" s="400">
        <f t="shared" ref="B46:N46" si="17">B$36*$B130</f>
        <v>4</v>
      </c>
      <c r="C46" s="400">
        <f t="shared" si="17"/>
        <v>4</v>
      </c>
      <c r="D46" s="400">
        <f t="shared" si="17"/>
        <v>4</v>
      </c>
      <c r="E46" s="400">
        <f t="shared" si="17"/>
        <v>4</v>
      </c>
      <c r="F46" s="400">
        <f t="shared" si="17"/>
        <v>4</v>
      </c>
      <c r="G46" s="400">
        <f t="shared" si="17"/>
        <v>4</v>
      </c>
      <c r="H46" s="400">
        <f t="shared" si="17"/>
        <v>4</v>
      </c>
      <c r="I46" s="400">
        <f t="shared" si="17"/>
        <v>4</v>
      </c>
      <c r="J46" s="400">
        <f t="shared" si="17"/>
        <v>4</v>
      </c>
      <c r="K46" s="400">
        <f t="shared" si="17"/>
        <v>4</v>
      </c>
      <c r="L46" s="400">
        <f t="shared" si="17"/>
        <v>4</v>
      </c>
      <c r="M46" s="400">
        <f t="shared" si="17"/>
        <v>4</v>
      </c>
      <c r="N46" s="400">
        <f t="shared" si="17"/>
        <v>4</v>
      </c>
      <c r="O46" s="160"/>
    </row>
    <row r="47" spans="1:30" ht="12.75" x14ac:dyDescent="0.2">
      <c r="A47" s="102" t="s">
        <v>136</v>
      </c>
      <c r="B47" s="462"/>
      <c r="C47" s="463"/>
      <c r="D47" s="463"/>
      <c r="E47" s="463"/>
      <c r="F47" s="463"/>
      <c r="G47" s="463"/>
      <c r="H47" s="463"/>
      <c r="I47" s="463"/>
      <c r="J47" s="463"/>
      <c r="K47" s="463"/>
      <c r="L47" s="463"/>
      <c r="M47" s="464"/>
      <c r="N47" s="81"/>
      <c r="O47" s="117"/>
      <c r="P47" s="86"/>
    </row>
    <row r="48" spans="1:30" ht="12" x14ac:dyDescent="0.2">
      <c r="A48" s="100" t="s">
        <v>137</v>
      </c>
      <c r="B48" s="103">
        <f t="shared" ref="B48:N48" si="18">$B$84</f>
        <v>12</v>
      </c>
      <c r="C48" s="103">
        <f t="shared" si="18"/>
        <v>12</v>
      </c>
      <c r="D48" s="103">
        <f t="shared" si="18"/>
        <v>12</v>
      </c>
      <c r="E48" s="103">
        <f t="shared" si="18"/>
        <v>12</v>
      </c>
      <c r="F48" s="103">
        <f t="shared" si="18"/>
        <v>12</v>
      </c>
      <c r="G48" s="103">
        <f t="shared" si="18"/>
        <v>12</v>
      </c>
      <c r="H48" s="103">
        <f t="shared" si="18"/>
        <v>12</v>
      </c>
      <c r="I48" s="103">
        <f t="shared" si="18"/>
        <v>12</v>
      </c>
      <c r="J48" s="103">
        <f t="shared" si="18"/>
        <v>12</v>
      </c>
      <c r="K48" s="103">
        <f t="shared" si="18"/>
        <v>12</v>
      </c>
      <c r="L48" s="103">
        <f t="shared" si="18"/>
        <v>12</v>
      </c>
      <c r="M48" s="103">
        <f t="shared" si="18"/>
        <v>12</v>
      </c>
      <c r="N48" s="105">
        <f t="shared" si="18"/>
        <v>12</v>
      </c>
      <c r="P48" s="86"/>
    </row>
    <row r="49" spans="1:46" ht="12" x14ac:dyDescent="0.2">
      <c r="A49" s="100" t="s">
        <v>138</v>
      </c>
      <c r="B49" s="105">
        <f>B48</f>
        <v>12</v>
      </c>
      <c r="C49" s="105">
        <f t="shared" ref="C49:M49" si="19">C48</f>
        <v>12</v>
      </c>
      <c r="D49" s="105">
        <f t="shared" si="19"/>
        <v>12</v>
      </c>
      <c r="E49" s="105">
        <f t="shared" si="19"/>
        <v>12</v>
      </c>
      <c r="F49" s="105">
        <f t="shared" si="19"/>
        <v>12</v>
      </c>
      <c r="G49" s="105">
        <f t="shared" si="19"/>
        <v>12</v>
      </c>
      <c r="H49" s="105">
        <f t="shared" si="19"/>
        <v>12</v>
      </c>
      <c r="I49" s="105">
        <f t="shared" si="19"/>
        <v>12</v>
      </c>
      <c r="J49" s="105">
        <f t="shared" si="19"/>
        <v>12</v>
      </c>
      <c r="K49" s="105">
        <f t="shared" si="19"/>
        <v>12</v>
      </c>
      <c r="L49" s="105">
        <f t="shared" si="19"/>
        <v>12</v>
      </c>
      <c r="M49" s="105">
        <f t="shared" si="19"/>
        <v>12</v>
      </c>
      <c r="N49" s="80">
        <v>10</v>
      </c>
      <c r="P49" s="86"/>
    </row>
    <row r="50" spans="1:46" ht="12" x14ac:dyDescent="0.2">
      <c r="A50" s="100" t="s">
        <v>139</v>
      </c>
      <c r="B50" s="105">
        <f>$B$86</f>
        <v>18</v>
      </c>
      <c r="C50" s="105">
        <f t="shared" ref="C50:N50" si="20">$B$86</f>
        <v>18</v>
      </c>
      <c r="D50" s="105">
        <f t="shared" si="20"/>
        <v>18</v>
      </c>
      <c r="E50" s="105">
        <f t="shared" si="20"/>
        <v>18</v>
      </c>
      <c r="F50" s="105">
        <f t="shared" si="20"/>
        <v>18</v>
      </c>
      <c r="G50" s="105">
        <f t="shared" si="20"/>
        <v>18</v>
      </c>
      <c r="H50" s="105">
        <f t="shared" si="20"/>
        <v>18</v>
      </c>
      <c r="I50" s="105">
        <f t="shared" si="20"/>
        <v>18</v>
      </c>
      <c r="J50" s="105">
        <f t="shared" si="20"/>
        <v>18</v>
      </c>
      <c r="K50" s="105">
        <f t="shared" si="20"/>
        <v>18</v>
      </c>
      <c r="L50" s="105">
        <f t="shared" si="20"/>
        <v>18</v>
      </c>
      <c r="M50" s="105">
        <f t="shared" si="20"/>
        <v>18</v>
      </c>
      <c r="N50" s="105">
        <f t="shared" si="20"/>
        <v>18</v>
      </c>
      <c r="P50" s="86"/>
    </row>
    <row r="51" spans="1:46" ht="12" x14ac:dyDescent="0.2">
      <c r="A51" s="100" t="s">
        <v>140</v>
      </c>
      <c r="B51" s="105">
        <f>B50</f>
        <v>18</v>
      </c>
      <c r="C51" s="105">
        <f t="shared" ref="C51:M51" si="21">C50</f>
        <v>18</v>
      </c>
      <c r="D51" s="105">
        <f t="shared" si="21"/>
        <v>18</v>
      </c>
      <c r="E51" s="105">
        <f t="shared" si="21"/>
        <v>18</v>
      </c>
      <c r="F51" s="105">
        <f t="shared" si="21"/>
        <v>18</v>
      </c>
      <c r="G51" s="105">
        <f t="shared" si="21"/>
        <v>18</v>
      </c>
      <c r="H51" s="105">
        <f t="shared" si="21"/>
        <v>18</v>
      </c>
      <c r="I51" s="105">
        <f t="shared" si="21"/>
        <v>18</v>
      </c>
      <c r="J51" s="105">
        <f t="shared" si="21"/>
        <v>18</v>
      </c>
      <c r="K51" s="105">
        <f t="shared" si="21"/>
        <v>18</v>
      </c>
      <c r="L51" s="105">
        <f t="shared" si="21"/>
        <v>18</v>
      </c>
      <c r="M51" s="105">
        <f t="shared" si="21"/>
        <v>18</v>
      </c>
      <c r="N51" s="105">
        <v>15</v>
      </c>
      <c r="P51" s="86"/>
    </row>
    <row r="52" spans="1:46" ht="12" x14ac:dyDescent="0.2">
      <c r="A52" s="107" t="s">
        <v>156</v>
      </c>
      <c r="B52" s="108">
        <f t="shared" ref="B52:N52" si="22">ROUNDUP(IF(B$13="Deploy",MAX((B$75/100)*$B88,$B88),(B$75/100)*$B88),0)</f>
        <v>2</v>
      </c>
      <c r="C52" s="108">
        <f t="shared" si="22"/>
        <v>2</v>
      </c>
      <c r="D52" s="108">
        <f t="shared" si="22"/>
        <v>2</v>
      </c>
      <c r="E52" s="108">
        <f t="shared" si="22"/>
        <v>2</v>
      </c>
      <c r="F52" s="108">
        <f t="shared" si="22"/>
        <v>2</v>
      </c>
      <c r="G52" s="108">
        <f t="shared" si="22"/>
        <v>2</v>
      </c>
      <c r="H52" s="108">
        <f t="shared" si="22"/>
        <v>2</v>
      </c>
      <c r="I52" s="108">
        <f t="shared" si="22"/>
        <v>2</v>
      </c>
      <c r="J52" s="108">
        <f t="shared" si="22"/>
        <v>2</v>
      </c>
      <c r="K52" s="108">
        <f t="shared" si="22"/>
        <v>2</v>
      </c>
      <c r="L52" s="108">
        <f t="shared" si="22"/>
        <v>2</v>
      </c>
      <c r="M52" s="108">
        <f t="shared" si="22"/>
        <v>2</v>
      </c>
      <c r="N52" s="108">
        <f t="shared" si="22"/>
        <v>1</v>
      </c>
      <c r="P52" s="86"/>
    </row>
    <row r="53" spans="1:46" ht="12" x14ac:dyDescent="0.2">
      <c r="A53" s="107" t="s">
        <v>157</v>
      </c>
      <c r="B53" s="108">
        <f t="shared" ref="B53:N53" si="23">ROUND(IF(B$13="Deploy",MAX((B$75/100)*$B89,$B89),(B$75/100)*$B89),0)</f>
        <v>5</v>
      </c>
      <c r="C53" s="108">
        <f t="shared" si="23"/>
        <v>5</v>
      </c>
      <c r="D53" s="108">
        <f t="shared" si="23"/>
        <v>5</v>
      </c>
      <c r="E53" s="108">
        <f t="shared" si="23"/>
        <v>5</v>
      </c>
      <c r="F53" s="108">
        <f t="shared" si="23"/>
        <v>4</v>
      </c>
      <c r="G53" s="108">
        <f t="shared" si="23"/>
        <v>5</v>
      </c>
      <c r="H53" s="108">
        <f t="shared" si="23"/>
        <v>5</v>
      </c>
      <c r="I53" s="108">
        <f t="shared" si="23"/>
        <v>5</v>
      </c>
      <c r="J53" s="108">
        <f t="shared" si="23"/>
        <v>5</v>
      </c>
      <c r="K53" s="108">
        <f t="shared" si="23"/>
        <v>5</v>
      </c>
      <c r="L53" s="108">
        <f t="shared" si="23"/>
        <v>4</v>
      </c>
      <c r="M53" s="108">
        <f t="shared" si="23"/>
        <v>4</v>
      </c>
      <c r="N53" s="108">
        <f t="shared" si="23"/>
        <v>2</v>
      </c>
      <c r="P53" s="86"/>
    </row>
    <row r="54" spans="1:46" ht="12" x14ac:dyDescent="0.2">
      <c r="A54" s="107" t="s">
        <v>158</v>
      </c>
      <c r="B54" s="108">
        <f t="shared" ref="B54:N54" si="24">ROUND(IF(B$13="Deploy",MAX((B$75/100)*$B90,$B90),(B$75/100)*$B90),0)</f>
        <v>6</v>
      </c>
      <c r="C54" s="108">
        <f t="shared" si="24"/>
        <v>6</v>
      </c>
      <c r="D54" s="108">
        <f t="shared" si="24"/>
        <v>6</v>
      </c>
      <c r="E54" s="108">
        <f t="shared" si="24"/>
        <v>6</v>
      </c>
      <c r="F54" s="108">
        <f t="shared" si="24"/>
        <v>5</v>
      </c>
      <c r="G54" s="108">
        <f t="shared" si="24"/>
        <v>6</v>
      </c>
      <c r="H54" s="108">
        <f t="shared" si="24"/>
        <v>6</v>
      </c>
      <c r="I54" s="108">
        <f t="shared" si="24"/>
        <v>6</v>
      </c>
      <c r="J54" s="108">
        <f t="shared" si="24"/>
        <v>6</v>
      </c>
      <c r="K54" s="108">
        <f t="shared" si="24"/>
        <v>6</v>
      </c>
      <c r="L54" s="108">
        <f t="shared" si="24"/>
        <v>5</v>
      </c>
      <c r="M54" s="108">
        <f t="shared" si="24"/>
        <v>5</v>
      </c>
      <c r="N54" s="108">
        <f t="shared" si="24"/>
        <v>2</v>
      </c>
      <c r="P54" s="86"/>
    </row>
    <row r="55" spans="1:46" ht="12" x14ac:dyDescent="0.2">
      <c r="A55" s="107" t="s">
        <v>159</v>
      </c>
      <c r="B55" s="108">
        <f t="shared" ref="B55:N55" si="25">ROUND(IF(B$13="Deploy",MAX((B$75/100)*$B91,$B91),(B$75/100)*$B91),0)</f>
        <v>9</v>
      </c>
      <c r="C55" s="108">
        <f t="shared" si="25"/>
        <v>9</v>
      </c>
      <c r="D55" s="108">
        <f t="shared" si="25"/>
        <v>8</v>
      </c>
      <c r="E55" s="108">
        <f t="shared" si="25"/>
        <v>8</v>
      </c>
      <c r="F55" s="108">
        <f t="shared" si="25"/>
        <v>7</v>
      </c>
      <c r="G55" s="108">
        <f t="shared" si="25"/>
        <v>9</v>
      </c>
      <c r="H55" s="108">
        <f t="shared" si="25"/>
        <v>9</v>
      </c>
      <c r="I55" s="108">
        <f t="shared" si="25"/>
        <v>9</v>
      </c>
      <c r="J55" s="108">
        <f t="shared" si="25"/>
        <v>8</v>
      </c>
      <c r="K55" s="108">
        <f t="shared" si="25"/>
        <v>8</v>
      </c>
      <c r="L55" s="108">
        <f t="shared" si="25"/>
        <v>7</v>
      </c>
      <c r="M55" s="108">
        <f t="shared" si="25"/>
        <v>7</v>
      </c>
      <c r="N55" s="108">
        <f t="shared" si="25"/>
        <v>3</v>
      </c>
      <c r="P55" s="86"/>
    </row>
    <row r="56" spans="1:46" s="68" customFormat="1" ht="12" x14ac:dyDescent="0.2">
      <c r="A56" s="110" t="s">
        <v>160</v>
      </c>
      <c r="B56" s="108">
        <f t="shared" ref="B56:N56" si="26">ROUND(IF(B$13="Deploy",MAX((B$75/100)*$B92,$B92),(B$75/100)*$B92),0)</f>
        <v>4</v>
      </c>
      <c r="C56" s="108">
        <f t="shared" si="26"/>
        <v>4</v>
      </c>
      <c r="D56" s="108">
        <f t="shared" si="26"/>
        <v>4</v>
      </c>
      <c r="E56" s="108">
        <f t="shared" si="26"/>
        <v>4</v>
      </c>
      <c r="F56" s="108">
        <f t="shared" si="26"/>
        <v>3</v>
      </c>
      <c r="G56" s="108">
        <f t="shared" si="26"/>
        <v>4</v>
      </c>
      <c r="H56" s="108">
        <f t="shared" si="26"/>
        <v>4</v>
      </c>
      <c r="I56" s="108">
        <f t="shared" si="26"/>
        <v>4</v>
      </c>
      <c r="J56" s="108">
        <f t="shared" si="26"/>
        <v>4</v>
      </c>
      <c r="K56" s="108">
        <f t="shared" si="26"/>
        <v>4</v>
      </c>
      <c r="L56" s="108">
        <f t="shared" si="26"/>
        <v>3</v>
      </c>
      <c r="M56" s="108">
        <f t="shared" si="26"/>
        <v>3</v>
      </c>
      <c r="N56" s="108">
        <f t="shared" si="26"/>
        <v>1</v>
      </c>
    </row>
    <row r="57" spans="1:46" ht="12" x14ac:dyDescent="0.2">
      <c r="A57" s="107" t="s">
        <v>161</v>
      </c>
      <c r="B57" s="108">
        <f t="shared" ref="B57:N57" si="27">ROUND(IF(B$13="Deploy",MAX((B$75/100)*$B93,$B93),(B$75/100)*$B93),0)</f>
        <v>7</v>
      </c>
      <c r="C57" s="108">
        <f t="shared" si="27"/>
        <v>7</v>
      </c>
      <c r="D57" s="108">
        <f t="shared" si="27"/>
        <v>6</v>
      </c>
      <c r="E57" s="108">
        <f t="shared" si="27"/>
        <v>6</v>
      </c>
      <c r="F57" s="108">
        <f t="shared" si="27"/>
        <v>6</v>
      </c>
      <c r="G57" s="108">
        <f t="shared" si="27"/>
        <v>7</v>
      </c>
      <c r="H57" s="108">
        <f t="shared" si="27"/>
        <v>7</v>
      </c>
      <c r="I57" s="108">
        <f t="shared" si="27"/>
        <v>7</v>
      </c>
      <c r="J57" s="108">
        <f t="shared" si="27"/>
        <v>7</v>
      </c>
      <c r="K57" s="108">
        <f t="shared" si="27"/>
        <v>6</v>
      </c>
      <c r="L57" s="108">
        <f t="shared" si="27"/>
        <v>6</v>
      </c>
      <c r="M57" s="108">
        <f t="shared" si="27"/>
        <v>6</v>
      </c>
      <c r="N57" s="108">
        <f t="shared" si="27"/>
        <v>3</v>
      </c>
      <c r="P57" s="86"/>
    </row>
    <row r="58" spans="1:46" ht="12" x14ac:dyDescent="0.2">
      <c r="A58" s="107" t="s">
        <v>162</v>
      </c>
      <c r="B58" s="108">
        <f t="shared" ref="B58:N58" si="28">ROUND(IF(B$13="Deploy",MAX((B$75/100)*$B94,$B94),(B$75/100)*$B94),0)</f>
        <v>9</v>
      </c>
      <c r="C58" s="108">
        <f t="shared" si="28"/>
        <v>9</v>
      </c>
      <c r="D58" s="108">
        <f t="shared" si="28"/>
        <v>8</v>
      </c>
      <c r="E58" s="108">
        <f t="shared" si="28"/>
        <v>8</v>
      </c>
      <c r="F58" s="108">
        <f t="shared" si="28"/>
        <v>7</v>
      </c>
      <c r="G58" s="108">
        <f t="shared" si="28"/>
        <v>9</v>
      </c>
      <c r="H58" s="108">
        <f t="shared" si="28"/>
        <v>9</v>
      </c>
      <c r="I58" s="108">
        <f t="shared" si="28"/>
        <v>9</v>
      </c>
      <c r="J58" s="108">
        <f t="shared" si="28"/>
        <v>8</v>
      </c>
      <c r="K58" s="108">
        <f t="shared" si="28"/>
        <v>8</v>
      </c>
      <c r="L58" s="108">
        <f t="shared" si="28"/>
        <v>7</v>
      </c>
      <c r="M58" s="108">
        <f t="shared" si="28"/>
        <v>7</v>
      </c>
      <c r="N58" s="108">
        <f t="shared" si="28"/>
        <v>3</v>
      </c>
      <c r="P58" s="86"/>
    </row>
    <row r="59" spans="1:46" ht="12" x14ac:dyDescent="0.2">
      <c r="A59" s="107" t="s">
        <v>163</v>
      </c>
      <c r="B59" s="108">
        <f t="shared" ref="B59:N59" si="29">ROUND(IF(B$13="Deploy",MAX((B$75/100)*$B95,$B95),(B$75/100)*$B95),0)</f>
        <v>10</v>
      </c>
      <c r="C59" s="108">
        <f t="shared" si="29"/>
        <v>10</v>
      </c>
      <c r="D59" s="108">
        <f t="shared" si="29"/>
        <v>9</v>
      </c>
      <c r="E59" s="108">
        <f t="shared" si="29"/>
        <v>9</v>
      </c>
      <c r="F59" s="108">
        <f t="shared" si="29"/>
        <v>8</v>
      </c>
      <c r="G59" s="108">
        <f t="shared" si="29"/>
        <v>10</v>
      </c>
      <c r="H59" s="108">
        <f t="shared" si="29"/>
        <v>10</v>
      </c>
      <c r="I59" s="108">
        <f t="shared" si="29"/>
        <v>10</v>
      </c>
      <c r="J59" s="108">
        <f t="shared" si="29"/>
        <v>9</v>
      </c>
      <c r="K59" s="108">
        <f t="shared" si="29"/>
        <v>9</v>
      </c>
      <c r="L59" s="108">
        <f t="shared" si="29"/>
        <v>8</v>
      </c>
      <c r="M59" s="108">
        <f t="shared" si="29"/>
        <v>8</v>
      </c>
      <c r="N59" s="108">
        <f t="shared" si="29"/>
        <v>4</v>
      </c>
      <c r="P59" s="211"/>
      <c r="Q59" s="211"/>
      <c r="R59" s="211"/>
      <c r="S59" s="211"/>
      <c r="T59" s="211"/>
      <c r="U59" s="211"/>
      <c r="V59" s="211"/>
      <c r="W59" s="211"/>
      <c r="X59" s="211"/>
      <c r="Y59" s="211"/>
      <c r="Z59" s="211"/>
      <c r="AA59" s="211"/>
      <c r="AB59" s="211"/>
      <c r="AC59" s="211"/>
    </row>
    <row r="60" spans="1:46" ht="12" x14ac:dyDescent="0.2">
      <c r="A60" s="107" t="str">
        <f>A96</f>
        <v>&gt;=JMPS SME</v>
      </c>
      <c r="B60" s="108">
        <v>2</v>
      </c>
      <c r="C60" s="108">
        <v>2</v>
      </c>
      <c r="D60" s="108">
        <v>2</v>
      </c>
      <c r="E60" s="108">
        <v>2</v>
      </c>
      <c r="F60" s="108">
        <v>2</v>
      </c>
      <c r="G60" s="108">
        <v>2</v>
      </c>
      <c r="H60" s="108">
        <v>2</v>
      </c>
      <c r="I60" s="108">
        <v>2</v>
      </c>
      <c r="J60" s="108">
        <v>2</v>
      </c>
      <c r="K60" s="108">
        <v>2</v>
      </c>
      <c r="L60" s="108">
        <v>2</v>
      </c>
      <c r="M60" s="108">
        <v>2</v>
      </c>
      <c r="N60" s="108">
        <v>0</v>
      </c>
      <c r="O60" s="117"/>
      <c r="P60" s="211"/>
      <c r="Q60" s="211"/>
      <c r="R60" s="211"/>
      <c r="S60" s="211"/>
      <c r="T60" s="211"/>
      <c r="U60" s="211"/>
      <c r="V60" s="211"/>
      <c r="W60" s="211"/>
      <c r="X60" s="211"/>
      <c r="Y60" s="211"/>
      <c r="Z60" s="211"/>
      <c r="AA60" s="211"/>
      <c r="AB60" s="211"/>
      <c r="AC60" s="211"/>
    </row>
    <row r="61" spans="1:46" ht="12" x14ac:dyDescent="0.2">
      <c r="A61" s="100" t="s">
        <v>165</v>
      </c>
      <c r="B61" s="80">
        <v>5</v>
      </c>
      <c r="C61" s="80">
        <v>5</v>
      </c>
      <c r="D61" s="80">
        <v>5</v>
      </c>
      <c r="E61" s="80">
        <v>5</v>
      </c>
      <c r="F61" s="80">
        <v>5</v>
      </c>
      <c r="G61" s="80">
        <v>5</v>
      </c>
      <c r="H61" s="80">
        <v>5</v>
      </c>
      <c r="I61" s="80">
        <v>5</v>
      </c>
      <c r="J61" s="80">
        <v>5</v>
      </c>
      <c r="K61" s="80">
        <v>5</v>
      </c>
      <c r="L61" s="80">
        <v>5</v>
      </c>
      <c r="M61" s="80">
        <v>5</v>
      </c>
      <c r="N61" s="80">
        <v>1</v>
      </c>
      <c r="O61" s="117"/>
      <c r="P61" s="211"/>
      <c r="Q61" s="211"/>
      <c r="R61" s="211"/>
      <c r="S61" s="211"/>
      <c r="T61" s="211"/>
      <c r="U61" s="211"/>
      <c r="V61" s="211"/>
      <c r="W61" s="211"/>
      <c r="X61" s="211"/>
      <c r="Y61" s="211"/>
      <c r="Z61" s="211"/>
      <c r="AA61" s="211"/>
      <c r="AB61" s="211"/>
      <c r="AC61" s="211"/>
    </row>
    <row r="62" spans="1:46" s="298" customFormat="1" ht="12.75" x14ac:dyDescent="0.2">
      <c r="A62" s="290" t="s">
        <v>141</v>
      </c>
      <c r="B62" s="291"/>
      <c r="C62" s="292"/>
      <c r="D62" s="292"/>
      <c r="E62" s="292"/>
      <c r="F62" s="292"/>
      <c r="G62" s="293"/>
      <c r="H62" s="293"/>
      <c r="I62" s="293"/>
      <c r="J62" s="293"/>
      <c r="K62" s="293"/>
      <c r="L62" s="293"/>
      <c r="M62" s="293"/>
      <c r="N62" s="356"/>
      <c r="O62" s="354"/>
      <c r="P62" s="351"/>
      <c r="Q62" s="351"/>
      <c r="R62" s="352"/>
      <c r="S62" s="352"/>
      <c r="T62" s="352"/>
      <c r="U62" s="352"/>
      <c r="V62" s="352"/>
      <c r="W62" s="352"/>
      <c r="X62" s="352"/>
      <c r="Y62" s="352"/>
      <c r="Z62" s="352"/>
      <c r="AA62" s="352"/>
      <c r="AB62" s="352"/>
      <c r="AC62" s="352"/>
      <c r="AD62" s="297"/>
      <c r="AE62" s="297"/>
      <c r="AF62" s="297"/>
      <c r="AG62" s="297"/>
      <c r="AH62" s="297"/>
      <c r="AI62" s="297"/>
      <c r="AJ62" s="297"/>
      <c r="AK62" s="297"/>
      <c r="AL62" s="297"/>
      <c r="AM62" s="297"/>
      <c r="AN62" s="297"/>
      <c r="AO62" s="297"/>
      <c r="AP62" s="297"/>
      <c r="AQ62" s="297"/>
      <c r="AR62" s="297"/>
      <c r="AS62" s="297"/>
      <c r="AT62" s="297"/>
    </row>
    <row r="63" spans="1:46" s="300" customFormat="1" ht="12" x14ac:dyDescent="0.2">
      <c r="A63" s="2" t="s">
        <v>142</v>
      </c>
      <c r="B63" s="299">
        <v>0.95</v>
      </c>
      <c r="C63" s="299">
        <v>0.95</v>
      </c>
      <c r="D63" s="299">
        <v>0.95</v>
      </c>
      <c r="E63" s="299">
        <v>0.95</v>
      </c>
      <c r="F63" s="299">
        <v>0.95</v>
      </c>
      <c r="G63" s="299">
        <v>0.95</v>
      </c>
      <c r="H63" s="299">
        <v>0.95</v>
      </c>
      <c r="I63" s="299">
        <v>0.95</v>
      </c>
      <c r="J63" s="299">
        <v>0.95</v>
      </c>
      <c r="K63" s="299">
        <v>0.95</v>
      </c>
      <c r="L63" s="299">
        <v>0.95</v>
      </c>
      <c r="M63" s="299">
        <v>0.95</v>
      </c>
      <c r="N63" s="299">
        <v>0.95</v>
      </c>
      <c r="O63" s="355"/>
      <c r="P63" s="353"/>
      <c r="Q63" s="353"/>
      <c r="R63" s="353"/>
      <c r="S63" s="353"/>
      <c r="T63" s="353"/>
      <c r="U63" s="353"/>
      <c r="V63" s="353"/>
      <c r="W63" s="353"/>
      <c r="X63" s="353"/>
      <c r="Y63" s="353"/>
      <c r="Z63" s="353"/>
      <c r="AA63" s="353"/>
      <c r="AB63" s="353"/>
      <c r="AC63" s="353"/>
    </row>
    <row r="64" spans="1:46" s="298" customFormat="1" ht="12" x14ac:dyDescent="0.2">
      <c r="A64" s="2" t="s">
        <v>143</v>
      </c>
      <c r="B64" s="301">
        <v>0.92</v>
      </c>
      <c r="C64" s="301">
        <v>0.92</v>
      </c>
      <c r="D64" s="301">
        <v>0.92</v>
      </c>
      <c r="E64" s="301">
        <v>0.92</v>
      </c>
      <c r="F64" s="301">
        <v>0.92</v>
      </c>
      <c r="G64" s="301">
        <v>0.92</v>
      </c>
      <c r="H64" s="301">
        <v>0.92</v>
      </c>
      <c r="I64" s="301">
        <v>0.92</v>
      </c>
      <c r="J64" s="301">
        <v>0.92</v>
      </c>
      <c r="K64" s="301">
        <v>0.92</v>
      </c>
      <c r="L64" s="301">
        <v>0.92</v>
      </c>
      <c r="M64" s="301">
        <v>0.92</v>
      </c>
      <c r="N64" s="301">
        <v>0.92</v>
      </c>
      <c r="O64" s="355"/>
      <c r="P64" s="353"/>
      <c r="Q64" s="353"/>
      <c r="R64" s="353"/>
      <c r="S64" s="353"/>
      <c r="T64" s="353"/>
      <c r="U64" s="353"/>
      <c r="V64" s="353"/>
      <c r="W64" s="353"/>
      <c r="X64" s="353"/>
      <c r="Y64" s="353"/>
      <c r="Z64" s="353"/>
      <c r="AA64" s="353"/>
      <c r="AB64" s="353"/>
      <c r="AC64" s="353"/>
      <c r="AD64" s="297"/>
      <c r="AE64" s="297"/>
      <c r="AF64" s="297"/>
      <c r="AG64" s="297"/>
      <c r="AH64" s="297"/>
      <c r="AI64" s="297"/>
      <c r="AJ64" s="297"/>
      <c r="AK64" s="297"/>
      <c r="AL64" s="297"/>
      <c r="AM64" s="297"/>
      <c r="AN64" s="297"/>
      <c r="AO64" s="297"/>
      <c r="AP64" s="297"/>
      <c r="AQ64" s="297"/>
      <c r="AR64" s="297"/>
      <c r="AS64" s="297"/>
      <c r="AT64" s="297"/>
    </row>
    <row r="65" spans="1:46" s="298" customFormat="1" ht="12" x14ac:dyDescent="0.2">
      <c r="A65" s="2" t="s">
        <v>144</v>
      </c>
      <c r="B65" s="301">
        <v>0.75</v>
      </c>
      <c r="C65" s="301">
        <v>0.75</v>
      </c>
      <c r="D65" s="301">
        <v>0.75</v>
      </c>
      <c r="E65" s="301">
        <v>0.75</v>
      </c>
      <c r="F65" s="301">
        <v>0.75</v>
      </c>
      <c r="G65" s="301">
        <v>0.75</v>
      </c>
      <c r="H65" s="301">
        <v>0.75</v>
      </c>
      <c r="I65" s="301">
        <v>0.75</v>
      </c>
      <c r="J65" s="301">
        <v>0.75</v>
      </c>
      <c r="K65" s="301">
        <v>0.75</v>
      </c>
      <c r="L65" s="301">
        <v>0.75</v>
      </c>
      <c r="M65" s="301">
        <v>0.75</v>
      </c>
      <c r="N65" s="301">
        <v>0.75</v>
      </c>
      <c r="O65" s="355"/>
      <c r="P65" s="353"/>
      <c r="Q65" s="353"/>
      <c r="R65" s="353"/>
      <c r="S65" s="353"/>
      <c r="T65" s="353"/>
      <c r="U65" s="353"/>
      <c r="V65" s="353"/>
      <c r="W65" s="353"/>
      <c r="X65" s="353"/>
      <c r="Y65" s="353"/>
      <c r="Z65" s="353"/>
      <c r="AA65" s="353"/>
      <c r="AB65" s="353"/>
      <c r="AC65" s="353"/>
      <c r="AD65" s="297"/>
      <c r="AE65" s="297"/>
      <c r="AF65" s="297"/>
      <c r="AG65" s="297"/>
      <c r="AH65" s="297"/>
      <c r="AI65" s="297"/>
      <c r="AJ65" s="297"/>
      <c r="AK65" s="297"/>
      <c r="AL65" s="297"/>
      <c r="AM65" s="297"/>
      <c r="AN65" s="297"/>
      <c r="AO65" s="297"/>
      <c r="AP65" s="297"/>
      <c r="AQ65" s="297"/>
      <c r="AR65" s="297"/>
      <c r="AS65" s="297"/>
      <c r="AT65" s="297"/>
    </row>
    <row r="66" spans="1:46" x14ac:dyDescent="0.2">
      <c r="A66" s="69"/>
      <c r="B66" s="69"/>
      <c r="C66" s="69"/>
      <c r="N66" s="86"/>
      <c r="O66" s="117"/>
      <c r="P66" s="211"/>
      <c r="Q66" s="211"/>
      <c r="R66" s="211"/>
      <c r="S66" s="211"/>
      <c r="T66" s="211"/>
      <c r="U66" s="211"/>
      <c r="V66" s="211"/>
      <c r="W66" s="211"/>
      <c r="X66" s="211"/>
      <c r="Y66" s="211"/>
      <c r="Z66" s="211"/>
      <c r="AA66" s="211"/>
      <c r="AB66" s="211"/>
      <c r="AC66" s="211"/>
    </row>
    <row r="67" spans="1:46" ht="12" x14ac:dyDescent="0.2">
      <c r="A67" s="160"/>
      <c r="B67" s="69"/>
      <c r="C67" s="69"/>
      <c r="D67" s="113"/>
      <c r="E67" s="113"/>
      <c r="F67" s="113"/>
      <c r="G67" s="113"/>
      <c r="H67" s="113"/>
      <c r="I67" s="113"/>
      <c r="J67" s="113"/>
      <c r="K67" s="113"/>
      <c r="L67" s="113"/>
      <c r="M67" s="113"/>
      <c r="N67" s="113"/>
    </row>
    <row r="68" spans="1:46" ht="12" x14ac:dyDescent="0.2">
      <c r="A68" s="160"/>
      <c r="B68" s="69"/>
      <c r="C68" s="69"/>
      <c r="D68" s="113"/>
      <c r="E68" s="113"/>
      <c r="F68" s="113"/>
      <c r="G68" s="113"/>
      <c r="H68" s="113"/>
      <c r="I68" s="113"/>
      <c r="J68" s="113"/>
      <c r="K68" s="113"/>
      <c r="L68" s="113"/>
      <c r="M68" s="113"/>
      <c r="N68" s="113"/>
    </row>
    <row r="69" spans="1:46" ht="12" x14ac:dyDescent="0.2">
      <c r="A69" s="160"/>
      <c r="B69" s="69"/>
      <c r="C69" s="69"/>
      <c r="D69" s="113"/>
      <c r="E69" s="113"/>
      <c r="F69" s="113"/>
      <c r="G69" s="113"/>
      <c r="H69" s="113"/>
      <c r="I69" s="113"/>
      <c r="J69" s="113"/>
      <c r="K69" s="113"/>
      <c r="L69" s="113"/>
      <c r="M69" s="113"/>
      <c r="N69" s="113"/>
    </row>
    <row r="70" spans="1:46" ht="12" x14ac:dyDescent="0.2">
      <c r="A70" s="160"/>
      <c r="B70" s="69"/>
      <c r="C70" s="69"/>
      <c r="D70" s="113"/>
      <c r="E70" s="113"/>
      <c r="F70" s="113"/>
      <c r="G70" s="113"/>
      <c r="H70" s="113"/>
      <c r="I70" s="113"/>
      <c r="J70" s="113"/>
      <c r="K70" s="113"/>
      <c r="L70" s="113"/>
      <c r="M70" s="113"/>
      <c r="N70" s="113"/>
    </row>
    <row r="71" spans="1:46" ht="12.75" thickBot="1" x14ac:dyDescent="0.25">
      <c r="A71" s="114"/>
      <c r="B71" s="113"/>
      <c r="C71" s="113"/>
      <c r="D71" s="113"/>
      <c r="E71" s="113"/>
      <c r="F71" s="113"/>
      <c r="G71" s="113"/>
      <c r="H71" s="113"/>
      <c r="I71" s="113"/>
      <c r="J71" s="113"/>
      <c r="K71" s="113"/>
      <c r="L71" s="113"/>
      <c r="M71" s="113"/>
      <c r="N71" s="113"/>
      <c r="O71" s="117"/>
      <c r="P71" s="118"/>
    </row>
    <row r="72" spans="1:46" ht="13.5" thickBot="1" x14ac:dyDescent="0.25">
      <c r="A72" s="491" t="s">
        <v>145</v>
      </c>
      <c r="B72" s="492"/>
      <c r="C72" s="492"/>
      <c r="D72" s="492"/>
      <c r="E72" s="492"/>
      <c r="F72" s="492"/>
      <c r="G72" s="492"/>
      <c r="H72" s="492"/>
      <c r="I72" s="492"/>
      <c r="J72" s="492"/>
      <c r="K72" s="492"/>
      <c r="L72" s="492"/>
      <c r="M72" s="492"/>
      <c r="N72" s="493"/>
      <c r="O72" s="86"/>
      <c r="P72" s="86"/>
    </row>
    <row r="73" spans="1:46" ht="12" x14ac:dyDescent="0.2">
      <c r="A73" s="119" t="s">
        <v>146</v>
      </c>
      <c r="B73" s="120">
        <f t="shared" ref="B73:M73" si="30">MIN(100,B75+$B$78)</f>
        <v>100</v>
      </c>
      <c r="C73" s="120">
        <f t="shared" si="30"/>
        <v>100</v>
      </c>
      <c r="D73" s="120">
        <f t="shared" si="30"/>
        <v>99.65352133915421</v>
      </c>
      <c r="E73" s="120">
        <f t="shared" si="30"/>
        <v>99.65352133915421</v>
      </c>
      <c r="F73" s="120">
        <f t="shared" si="30"/>
        <v>88.65352133915421</v>
      </c>
      <c r="G73" s="120">
        <f t="shared" si="30"/>
        <v>100</v>
      </c>
      <c r="H73" s="120">
        <f t="shared" si="30"/>
        <v>100</v>
      </c>
      <c r="I73" s="120">
        <f t="shared" si="30"/>
        <v>100</v>
      </c>
      <c r="J73" s="120">
        <f t="shared" si="30"/>
        <v>100</v>
      </c>
      <c r="K73" s="120">
        <f t="shared" si="30"/>
        <v>99.65352133915421</v>
      </c>
      <c r="L73" s="120">
        <f t="shared" si="30"/>
        <v>88.65352133915421</v>
      </c>
      <c r="M73" s="161">
        <f t="shared" si="30"/>
        <v>87.65352133915421</v>
      </c>
      <c r="N73" s="39">
        <v>60.803436023597357</v>
      </c>
      <c r="O73" s="86"/>
      <c r="P73" s="86"/>
    </row>
    <row r="74" spans="1:46" ht="12" x14ac:dyDescent="0.2">
      <c r="A74" s="122" t="s">
        <v>147</v>
      </c>
      <c r="B74" s="123">
        <f t="shared" ref="B74:M74" si="31">MIN(100,B75+$B$79)</f>
        <v>100</v>
      </c>
      <c r="C74" s="123">
        <f t="shared" si="31"/>
        <v>100</v>
      </c>
      <c r="D74" s="123">
        <f t="shared" si="31"/>
        <v>95.826760669577112</v>
      </c>
      <c r="E74" s="123">
        <f t="shared" si="31"/>
        <v>95.826760669577112</v>
      </c>
      <c r="F74" s="123">
        <f t="shared" si="31"/>
        <v>84.826760669577112</v>
      </c>
      <c r="G74" s="123">
        <f t="shared" si="31"/>
        <v>100</v>
      </c>
      <c r="H74" s="123">
        <f t="shared" si="31"/>
        <v>100</v>
      </c>
      <c r="I74" s="123">
        <f t="shared" si="31"/>
        <v>100</v>
      </c>
      <c r="J74" s="123">
        <f t="shared" si="31"/>
        <v>96.826760669577112</v>
      </c>
      <c r="K74" s="123">
        <f t="shared" si="31"/>
        <v>95.826760669577112</v>
      </c>
      <c r="L74" s="123">
        <f t="shared" si="31"/>
        <v>84.826760669577112</v>
      </c>
      <c r="M74" s="162">
        <f t="shared" si="31"/>
        <v>83.826760669577112</v>
      </c>
      <c r="N74" s="32">
        <v>48.901718011798678</v>
      </c>
      <c r="O74" s="86"/>
      <c r="P74" s="86"/>
    </row>
    <row r="75" spans="1:46" ht="12" x14ac:dyDescent="0.2">
      <c r="A75" s="179" t="s">
        <v>148</v>
      </c>
      <c r="B75" s="37">
        <v>100</v>
      </c>
      <c r="C75" s="37">
        <v>100</v>
      </c>
      <c r="D75" s="37">
        <v>92</v>
      </c>
      <c r="E75" s="37">
        <v>92</v>
      </c>
      <c r="F75" s="37">
        <v>81</v>
      </c>
      <c r="G75" s="37">
        <v>100</v>
      </c>
      <c r="H75" s="37">
        <v>100</v>
      </c>
      <c r="I75" s="37">
        <v>100</v>
      </c>
      <c r="J75" s="37">
        <v>93</v>
      </c>
      <c r="K75" s="37">
        <v>92</v>
      </c>
      <c r="L75" s="37">
        <v>81</v>
      </c>
      <c r="M75" s="38">
        <v>80</v>
      </c>
      <c r="N75" s="33">
        <v>37</v>
      </c>
      <c r="O75" s="86"/>
      <c r="P75" s="86"/>
    </row>
    <row r="76" spans="1:46" ht="12" x14ac:dyDescent="0.2">
      <c r="A76" s="122" t="s">
        <v>149</v>
      </c>
      <c r="B76" s="123">
        <f t="shared" ref="B76:M76" si="32">MIN(80,IF(B13="Deploy",80,MAX(0,B75-$B$79)))</f>
        <v>80</v>
      </c>
      <c r="C76" s="123">
        <f t="shared" si="32"/>
        <v>80</v>
      </c>
      <c r="D76" s="123">
        <f t="shared" si="32"/>
        <v>80</v>
      </c>
      <c r="E76" s="123">
        <f t="shared" si="32"/>
        <v>80</v>
      </c>
      <c r="F76" s="123">
        <f t="shared" si="32"/>
        <v>77.173239330422888</v>
      </c>
      <c r="G76" s="123">
        <f t="shared" si="32"/>
        <v>80</v>
      </c>
      <c r="H76" s="123">
        <f t="shared" si="32"/>
        <v>80</v>
      </c>
      <c r="I76" s="123">
        <f t="shared" si="32"/>
        <v>80</v>
      </c>
      <c r="J76" s="123">
        <f t="shared" si="32"/>
        <v>80</v>
      </c>
      <c r="K76" s="123">
        <f t="shared" si="32"/>
        <v>80</v>
      </c>
      <c r="L76" s="123">
        <f t="shared" si="32"/>
        <v>77.173239330422888</v>
      </c>
      <c r="M76" s="162">
        <f t="shared" si="32"/>
        <v>76.173239330422888</v>
      </c>
      <c r="N76" s="32">
        <v>25.098281988201322</v>
      </c>
      <c r="O76" s="86"/>
      <c r="P76" s="86"/>
    </row>
    <row r="77" spans="1:46" ht="12.75" thickBot="1" x14ac:dyDescent="0.25">
      <c r="A77" s="163" t="s">
        <v>150</v>
      </c>
      <c r="B77" s="129">
        <f t="shared" ref="B77:M77" si="33">MIN(60,IF(B13="Deploy",60,MAX(0,B75-$B$78)))</f>
        <v>60</v>
      </c>
      <c r="C77" s="129">
        <f t="shared" si="33"/>
        <v>60</v>
      </c>
      <c r="D77" s="129">
        <f t="shared" si="33"/>
        <v>60</v>
      </c>
      <c r="E77" s="129">
        <f t="shared" si="33"/>
        <v>60</v>
      </c>
      <c r="F77" s="129">
        <f t="shared" si="33"/>
        <v>60</v>
      </c>
      <c r="G77" s="129">
        <f t="shared" si="33"/>
        <v>60</v>
      </c>
      <c r="H77" s="129">
        <f t="shared" si="33"/>
        <v>60</v>
      </c>
      <c r="I77" s="129">
        <f t="shared" si="33"/>
        <v>60</v>
      </c>
      <c r="J77" s="129">
        <f t="shared" si="33"/>
        <v>60</v>
      </c>
      <c r="K77" s="129">
        <f t="shared" si="33"/>
        <v>60</v>
      </c>
      <c r="L77" s="129">
        <f t="shared" si="33"/>
        <v>60</v>
      </c>
      <c r="M77" s="164">
        <f t="shared" si="33"/>
        <v>60</v>
      </c>
      <c r="N77" s="34">
        <v>13.196563976402647</v>
      </c>
      <c r="O77" s="86"/>
      <c r="P77" s="86"/>
    </row>
    <row r="78" spans="1:46" x14ac:dyDescent="0.2">
      <c r="A78" s="131" t="s">
        <v>152</v>
      </c>
      <c r="B78" s="132">
        <f t="array" ref="B78">SQRT(SUM(POWER(AVERAGE(B75:M75)-(B75:M75),2))/COUNT(B75:M75))*1</f>
        <v>7.6535213391542127</v>
      </c>
      <c r="N78" s="86"/>
      <c r="O78" s="86"/>
      <c r="P78" s="86"/>
    </row>
    <row r="79" spans="1:46" ht="12" thickBot="1" x14ac:dyDescent="0.25">
      <c r="A79" s="133" t="s">
        <v>153</v>
      </c>
      <c r="B79" s="134">
        <f>B78/2</f>
        <v>3.8267606695771064</v>
      </c>
      <c r="N79" s="86"/>
      <c r="O79" s="86"/>
      <c r="P79" s="86"/>
    </row>
    <row r="80" spans="1:46" x14ac:dyDescent="0.2">
      <c r="N80" s="86"/>
      <c r="O80" s="86"/>
      <c r="P80" s="86"/>
    </row>
    <row r="81" spans="1:33" ht="12" thickBot="1" x14ac:dyDescent="0.25">
      <c r="N81" s="86"/>
      <c r="O81" s="86"/>
      <c r="P81" s="86"/>
    </row>
    <row r="82" spans="1:33" ht="13.5" thickBot="1" x14ac:dyDescent="0.25">
      <c r="A82" s="498" t="s">
        <v>154</v>
      </c>
      <c r="B82" s="499"/>
      <c r="N82" s="86"/>
      <c r="O82" s="86"/>
      <c r="P82" s="86"/>
    </row>
    <row r="83" spans="1:33" ht="12.75" thickBot="1" x14ac:dyDescent="0.25">
      <c r="A83" s="500" t="s">
        <v>155</v>
      </c>
      <c r="B83" s="501"/>
      <c r="N83" s="86"/>
      <c r="O83" s="86"/>
      <c r="P83" s="86"/>
    </row>
    <row r="84" spans="1:33" ht="12.75" thickTop="1" x14ac:dyDescent="0.2">
      <c r="A84" s="135" t="s">
        <v>137</v>
      </c>
      <c r="B84" s="136">
        <v>12</v>
      </c>
      <c r="F84" s="165"/>
      <c r="G84" s="166"/>
      <c r="H84" s="166"/>
      <c r="N84" s="86"/>
      <c r="O84" s="86"/>
      <c r="P84" s="86"/>
    </row>
    <row r="85" spans="1:33" ht="12" x14ac:dyDescent="0.2">
      <c r="A85" s="137" t="s">
        <v>138</v>
      </c>
      <c r="B85" s="138">
        <v>10</v>
      </c>
      <c r="F85" s="165"/>
      <c r="G85" s="166"/>
      <c r="H85" s="166"/>
      <c r="N85" s="86"/>
      <c r="O85" s="86"/>
      <c r="P85" s="86"/>
    </row>
    <row r="86" spans="1:33" ht="12" x14ac:dyDescent="0.2">
      <c r="A86" s="135" t="s">
        <v>139</v>
      </c>
      <c r="B86" s="136">
        <v>18</v>
      </c>
      <c r="F86" s="165"/>
      <c r="G86" s="166"/>
      <c r="H86" s="166"/>
      <c r="N86" s="86"/>
      <c r="O86" s="86"/>
      <c r="P86" s="86"/>
    </row>
    <row r="87" spans="1:33" ht="12" x14ac:dyDescent="0.2">
      <c r="A87" s="137" t="s">
        <v>140</v>
      </c>
      <c r="B87" s="138">
        <v>15</v>
      </c>
      <c r="F87" s="165"/>
      <c r="G87" s="166"/>
      <c r="H87" s="166"/>
      <c r="N87" s="86"/>
      <c r="O87" s="86"/>
      <c r="P87" s="86"/>
    </row>
    <row r="88" spans="1:33" ht="12" x14ac:dyDescent="0.2">
      <c r="A88" s="139" t="s">
        <v>156</v>
      </c>
      <c r="B88" s="138">
        <v>2</v>
      </c>
      <c r="F88" s="165"/>
      <c r="G88" s="166"/>
      <c r="H88" s="166"/>
      <c r="N88" s="86"/>
      <c r="O88" s="86"/>
      <c r="P88" s="86"/>
    </row>
    <row r="89" spans="1:33" ht="12" x14ac:dyDescent="0.2">
      <c r="A89" s="141" t="s">
        <v>157</v>
      </c>
      <c r="B89" s="140">
        <v>5</v>
      </c>
      <c r="F89" s="165"/>
      <c r="G89" s="166"/>
      <c r="H89" s="166"/>
      <c r="N89" s="86"/>
      <c r="O89" s="86"/>
      <c r="P89" s="86"/>
    </row>
    <row r="90" spans="1:33" ht="12" x14ac:dyDescent="0.2">
      <c r="A90" s="141" t="s">
        <v>158</v>
      </c>
      <c r="B90" s="142">
        <v>6</v>
      </c>
      <c r="N90" s="86"/>
      <c r="O90" s="86"/>
      <c r="P90" s="86"/>
    </row>
    <row r="91" spans="1:33" ht="12" x14ac:dyDescent="0.2">
      <c r="A91" s="141" t="s">
        <v>159</v>
      </c>
      <c r="B91" s="142">
        <v>9</v>
      </c>
      <c r="N91" s="143"/>
      <c r="O91" s="86"/>
      <c r="P91" s="86"/>
    </row>
    <row r="92" spans="1:33" ht="12" x14ac:dyDescent="0.2">
      <c r="A92" s="141" t="s">
        <v>160</v>
      </c>
      <c r="B92" s="142">
        <v>4</v>
      </c>
      <c r="F92" s="165"/>
      <c r="G92" s="166"/>
      <c r="H92" s="166"/>
      <c r="N92" s="143"/>
    </row>
    <row r="93" spans="1:33" ht="12" x14ac:dyDescent="0.2">
      <c r="A93" s="141" t="s">
        <v>161</v>
      </c>
      <c r="B93" s="142">
        <v>7</v>
      </c>
      <c r="F93" s="165"/>
      <c r="G93" s="166"/>
      <c r="H93" s="166"/>
      <c r="N93" s="143"/>
      <c r="O93" s="116"/>
      <c r="P93" s="116"/>
    </row>
    <row r="94" spans="1:33" ht="12" x14ac:dyDescent="0.2">
      <c r="A94" s="141" t="s">
        <v>162</v>
      </c>
      <c r="B94" s="142">
        <v>9</v>
      </c>
      <c r="N94" s="143"/>
    </row>
    <row r="95" spans="1:33" ht="12" x14ac:dyDescent="0.2">
      <c r="A95" s="141" t="s">
        <v>163</v>
      </c>
      <c r="B95" s="142">
        <v>10</v>
      </c>
      <c r="N95" s="143"/>
    </row>
    <row r="96" spans="1:33" ht="12" x14ac:dyDescent="0.2">
      <c r="A96" s="141" t="s">
        <v>164</v>
      </c>
      <c r="B96" s="142">
        <v>2</v>
      </c>
      <c r="N96" s="86"/>
      <c r="O96" s="86"/>
      <c r="P96" s="86"/>
      <c r="AB96" s="143"/>
      <c r="AC96" s="143"/>
      <c r="AD96" s="85"/>
      <c r="AE96" s="117"/>
      <c r="AF96" s="68"/>
      <c r="AG96" s="68"/>
    </row>
    <row r="97" spans="1:29" ht="12.75" thickBot="1" x14ac:dyDescent="0.25">
      <c r="A97" s="144" t="s">
        <v>165</v>
      </c>
      <c r="B97" s="145">
        <v>6</v>
      </c>
      <c r="N97" s="143"/>
    </row>
    <row r="98" spans="1:29" ht="12" thickBot="1" x14ac:dyDescent="0.25">
      <c r="N98" s="86"/>
    </row>
    <row r="99" spans="1:29" ht="13.5" thickBot="1" x14ac:dyDescent="0.25">
      <c r="A99" s="475" t="s">
        <v>166</v>
      </c>
      <c r="B99" s="476"/>
      <c r="C99" s="15"/>
      <c r="D99" s="15"/>
      <c r="E99" s="15"/>
      <c r="F99" s="15"/>
      <c r="G99" s="15"/>
      <c r="H99" s="15"/>
      <c r="I99" s="15"/>
      <c r="J99" s="15"/>
      <c r="K99" s="15"/>
      <c r="L99" s="15"/>
      <c r="M99" s="15"/>
      <c r="N99" s="15"/>
    </row>
    <row r="100" spans="1:29" ht="12" x14ac:dyDescent="0.2">
      <c r="A100" s="17" t="s">
        <v>167</v>
      </c>
      <c r="B100" s="18"/>
      <c r="C100" s="18"/>
      <c r="D100" s="18"/>
      <c r="E100" s="18"/>
      <c r="F100" s="18"/>
      <c r="G100" s="18"/>
      <c r="H100" s="18"/>
      <c r="I100" s="18"/>
      <c r="J100" s="18"/>
      <c r="K100" s="18"/>
      <c r="L100" s="18"/>
      <c r="M100" s="18"/>
      <c r="N100" s="19" t="s">
        <v>168</v>
      </c>
    </row>
    <row r="101" spans="1:29" ht="12.75" thickBot="1" x14ac:dyDescent="0.25">
      <c r="A101" s="20" t="s">
        <v>169</v>
      </c>
      <c r="B101" s="21" t="s">
        <v>168</v>
      </c>
      <c r="C101" s="21" t="s">
        <v>168</v>
      </c>
      <c r="D101" s="21"/>
      <c r="E101" s="21"/>
      <c r="F101" s="21"/>
      <c r="G101" s="21" t="s">
        <v>168</v>
      </c>
      <c r="H101" s="21" t="s">
        <v>168</v>
      </c>
      <c r="I101" s="21" t="s">
        <v>168</v>
      </c>
      <c r="J101" s="21"/>
      <c r="K101" s="21"/>
      <c r="L101" s="21"/>
      <c r="M101" s="21"/>
      <c r="N101" s="22"/>
    </row>
    <row r="102" spans="1:29" ht="12.75" thickBot="1" x14ac:dyDescent="0.25">
      <c r="AC102" s="15"/>
    </row>
    <row r="103" spans="1:29" ht="12.75" x14ac:dyDescent="0.2">
      <c r="A103" s="212" t="s">
        <v>170</v>
      </c>
      <c r="B103" s="486" t="s">
        <v>171</v>
      </c>
      <c r="C103" s="486"/>
      <c r="D103" s="487" t="s">
        <v>172</v>
      </c>
      <c r="E103" s="487"/>
      <c r="F103" s="488" t="s">
        <v>173</v>
      </c>
      <c r="G103" s="489"/>
      <c r="I103" s="394" t="s">
        <v>174</v>
      </c>
    </row>
    <row r="104" spans="1:29" ht="12.75" x14ac:dyDescent="0.2">
      <c r="A104" s="213" t="s">
        <v>175</v>
      </c>
      <c r="B104" s="199"/>
      <c r="C104" s="199"/>
      <c r="D104" s="199"/>
      <c r="E104" s="199"/>
      <c r="F104" s="199"/>
      <c r="G104" s="200"/>
      <c r="I104" s="225" t="s">
        <v>46</v>
      </c>
    </row>
    <row r="105" spans="1:29" ht="12" x14ac:dyDescent="0.2">
      <c r="A105" s="201" t="s">
        <v>176</v>
      </c>
      <c r="B105" s="202">
        <v>5</v>
      </c>
      <c r="C105" s="202">
        <v>5</v>
      </c>
      <c r="D105" s="203">
        <v>4</v>
      </c>
      <c r="E105" s="203">
        <v>4</v>
      </c>
      <c r="F105" s="204">
        <v>3</v>
      </c>
      <c r="G105" s="214">
        <v>0</v>
      </c>
    </row>
    <row r="106" spans="1:29" ht="12" x14ac:dyDescent="0.2">
      <c r="A106" s="201" t="s">
        <v>177</v>
      </c>
      <c r="B106" s="202">
        <v>5</v>
      </c>
      <c r="C106" s="202">
        <v>4</v>
      </c>
      <c r="D106" s="203">
        <v>3</v>
      </c>
      <c r="E106" s="203">
        <v>3</v>
      </c>
      <c r="F106" s="204">
        <v>2</v>
      </c>
      <c r="G106" s="214">
        <v>0</v>
      </c>
    </row>
    <row r="107" spans="1:29" ht="12" x14ac:dyDescent="0.2">
      <c r="A107" s="213" t="s">
        <v>127</v>
      </c>
      <c r="B107" s="209"/>
      <c r="C107" s="210"/>
      <c r="D107" s="210"/>
      <c r="E107" s="210"/>
      <c r="F107" s="210"/>
      <c r="G107" s="216"/>
    </row>
    <row r="108" spans="1:29" ht="12" x14ac:dyDescent="0.2">
      <c r="A108" s="201" t="str">
        <f t="shared" ref="A108:A115" si="34">A39</f>
        <v>Ready E-2D Air Defense Mission Systems (C)</v>
      </c>
      <c r="B108" s="202">
        <v>5</v>
      </c>
      <c r="C108" s="202">
        <v>4</v>
      </c>
      <c r="D108" s="203">
        <v>3</v>
      </c>
      <c r="E108" s="203">
        <v>3</v>
      </c>
      <c r="F108" s="204">
        <v>2</v>
      </c>
      <c r="G108" s="214">
        <v>0</v>
      </c>
    </row>
    <row r="109" spans="1:29" ht="12" x14ac:dyDescent="0.2">
      <c r="A109" s="201" t="str">
        <f t="shared" si="34"/>
        <v>Ready E-2D Advanced Navigation Systems (D)</v>
      </c>
      <c r="B109" s="202">
        <v>5</v>
      </c>
      <c r="C109" s="202">
        <v>4</v>
      </c>
      <c r="D109" s="203">
        <v>3</v>
      </c>
      <c r="E109" s="203">
        <v>3</v>
      </c>
      <c r="F109" s="204">
        <v>2</v>
      </c>
      <c r="G109" s="214">
        <v>0</v>
      </c>
    </row>
    <row r="110" spans="1:29" ht="12" x14ac:dyDescent="0.2">
      <c r="A110" s="201" t="str">
        <f t="shared" si="34"/>
        <v>Ready E-2D Electronic Warfare Mission Systems (E)</v>
      </c>
      <c r="B110" s="202">
        <v>5</v>
      </c>
      <c r="C110" s="202">
        <v>4</v>
      </c>
      <c r="D110" s="203">
        <v>3</v>
      </c>
      <c r="E110" s="203">
        <v>3</v>
      </c>
      <c r="F110" s="204">
        <v>2</v>
      </c>
      <c r="G110" s="214">
        <v>0</v>
      </c>
    </row>
    <row r="111" spans="1:29" ht="12" x14ac:dyDescent="0.2">
      <c r="A111" s="201" t="str">
        <f t="shared" si="34"/>
        <v>Ready E-2D Tactical Communication Mission Systems (F)</v>
      </c>
      <c r="B111" s="202">
        <v>5</v>
      </c>
      <c r="C111" s="202">
        <v>4</v>
      </c>
      <c r="D111" s="203">
        <v>3</v>
      </c>
      <c r="E111" s="203">
        <v>3</v>
      </c>
      <c r="F111" s="204">
        <v>2</v>
      </c>
      <c r="G111" s="214">
        <v>0</v>
      </c>
    </row>
    <row r="112" spans="1:29" ht="12" x14ac:dyDescent="0.2">
      <c r="A112" s="201" t="str">
        <f t="shared" si="34"/>
        <v>Ready E-2D Aerial Refueling Mission Systems (G)</v>
      </c>
      <c r="B112" s="202">
        <v>5</v>
      </c>
      <c r="C112" s="202">
        <v>4</v>
      </c>
      <c r="D112" s="203">
        <v>3</v>
      </c>
      <c r="E112" s="203">
        <v>3</v>
      </c>
      <c r="F112" s="204">
        <v>2</v>
      </c>
      <c r="G112" s="214">
        <v>0</v>
      </c>
    </row>
    <row r="113" spans="1:7" ht="12" x14ac:dyDescent="0.2">
      <c r="A113" s="201" t="str">
        <f t="shared" si="34"/>
        <v>Ready E-2D Basic ACC Mission Systems (J)</v>
      </c>
      <c r="B113" s="202">
        <v>5</v>
      </c>
      <c r="C113" s="202">
        <v>4</v>
      </c>
      <c r="D113" s="203">
        <v>3</v>
      </c>
      <c r="E113" s="203">
        <v>3</v>
      </c>
      <c r="F113" s="204">
        <v>2</v>
      </c>
      <c r="G113" s="214">
        <v>0</v>
      </c>
    </row>
    <row r="114" spans="1:7" ht="12" x14ac:dyDescent="0.2">
      <c r="A114" s="201" t="str">
        <f t="shared" si="34"/>
        <v>Ready E-2D Shipboard Mission Systems (K)</v>
      </c>
      <c r="B114" s="202">
        <v>5</v>
      </c>
      <c r="C114" s="202">
        <v>4</v>
      </c>
      <c r="D114" s="203">
        <v>3</v>
      </c>
      <c r="E114" s="203">
        <v>3</v>
      </c>
      <c r="F114" s="204">
        <v>2</v>
      </c>
      <c r="G114" s="214">
        <v>0</v>
      </c>
    </row>
    <row r="115" spans="1:7" ht="12.75" thickBot="1" x14ac:dyDescent="0.25">
      <c r="A115" s="205" t="str">
        <f t="shared" si="34"/>
        <v>Ready E-2D IMC Flight Mission Systems (L)</v>
      </c>
      <c r="B115" s="401">
        <v>5</v>
      </c>
      <c r="C115" s="401">
        <v>4</v>
      </c>
      <c r="D115" s="402">
        <v>3</v>
      </c>
      <c r="E115" s="402">
        <v>3</v>
      </c>
      <c r="F115" s="403">
        <v>2</v>
      </c>
      <c r="G115" s="404">
        <v>0</v>
      </c>
    </row>
    <row r="121" spans="1:7" x14ac:dyDescent="0.2">
      <c r="A121" s="395" t="s">
        <v>178</v>
      </c>
      <c r="B121" s="86" t="s">
        <v>210</v>
      </c>
    </row>
    <row r="122" spans="1:7" x14ac:dyDescent="0.2">
      <c r="A122" s="396" t="s">
        <v>180</v>
      </c>
      <c r="B122" s="397">
        <f>HLOOKUP($B$121,'E-2 Mission System Summary'!$B$1:$F$14,2,FALSE)</f>
        <v>0.8443581969977193</v>
      </c>
    </row>
    <row r="123" spans="1:7" x14ac:dyDescent="0.2">
      <c r="A123" s="396" t="str">
        <f t="shared" ref="A123:A130" si="35">A39</f>
        <v>Ready E-2D Air Defense Mission Systems (C)</v>
      </c>
      <c r="B123" s="397">
        <f>HLOOKUP($B$121,'E-2 Mission System Summary'!$B$1:$F$14,3,FALSE)</f>
        <v>0.76762483954315719</v>
      </c>
    </row>
    <row r="124" spans="1:7" x14ac:dyDescent="0.2">
      <c r="A124" s="396" t="str">
        <f t="shared" si="35"/>
        <v>Ready E-2D Advanced Navigation Systems (D)</v>
      </c>
      <c r="B124" s="397">
        <f>HLOOKUP($B$121,'E-2 Mission System Summary'!$B$1:$F$14,4,FALSE)</f>
        <v>0.39768185553673868</v>
      </c>
    </row>
    <row r="125" spans="1:7" x14ac:dyDescent="0.2">
      <c r="A125" s="396" t="str">
        <f t="shared" si="35"/>
        <v>Ready E-2D Electronic Warfare Mission Systems (E)</v>
      </c>
      <c r="B125" s="397">
        <f>HLOOKUP($B$121,'E-2 Mission System Summary'!$B$1:$F$14,5,FALSE)</f>
        <v>0.76544975145000071</v>
      </c>
    </row>
    <row r="126" spans="1:7" x14ac:dyDescent="0.2">
      <c r="A126" s="396" t="str">
        <f t="shared" si="35"/>
        <v>Ready E-2D Tactical Communication Mission Systems (F)</v>
      </c>
      <c r="B126" s="397">
        <f>HLOOKUP($B$121,'E-2 Mission System Summary'!$B$1:$F$14,6,FALSE)</f>
        <v>0.76109957526368766</v>
      </c>
    </row>
    <row r="127" spans="1:7" x14ac:dyDescent="0.2">
      <c r="A127" s="396" t="str">
        <f t="shared" si="35"/>
        <v>Ready E-2D Aerial Refueling Mission Systems (G)</v>
      </c>
      <c r="B127" s="397">
        <f>HLOOKUP($B$121,'E-2 Mission System Summary'!$B$1:$F$14,7,FALSE)</f>
        <v>0.39768185553673868</v>
      </c>
    </row>
    <row r="128" spans="1:7" x14ac:dyDescent="0.2">
      <c r="A128" s="396" t="str">
        <f t="shared" si="35"/>
        <v>Ready E-2D Basic ACC Mission Systems (J)</v>
      </c>
      <c r="B128" s="397">
        <f>HLOOKUP($B$121,'E-2 Mission System Summary'!$B$1:$F$14,8,FALSE)</f>
        <v>0.76762483954315719</v>
      </c>
    </row>
    <row r="129" spans="1:2" x14ac:dyDescent="0.2">
      <c r="A129" s="396" t="str">
        <f t="shared" si="35"/>
        <v>Ready E-2D Shipboard Mission Systems (K)</v>
      </c>
      <c r="B129" s="397">
        <f>HLOOKUP($B$121,'E-2 Mission System Summary'!$B$1:$F$14,9,FALSE)</f>
        <v>0.39768185553673868</v>
      </c>
    </row>
    <row r="130" spans="1:2" x14ac:dyDescent="0.2">
      <c r="A130" s="396" t="str">
        <f t="shared" si="35"/>
        <v>Ready E-2D IMC Flight Mission Systems (L)</v>
      </c>
      <c r="B130" s="397">
        <f>HLOOKUP($B$121,'E-2 Mission System Summary'!$B$1:$F$14,10,FALSE)</f>
        <v>1</v>
      </c>
    </row>
    <row r="157" spans="1:16" x14ac:dyDescent="0.2">
      <c r="N157" s="86"/>
      <c r="O157" s="86"/>
      <c r="P157" s="86"/>
    </row>
    <row r="158" spans="1:16" x14ac:dyDescent="0.2">
      <c r="N158" s="86"/>
      <c r="O158" s="86"/>
      <c r="P158" s="86"/>
    </row>
    <row r="159" spans="1:16" s="68" customFormat="1" x14ac:dyDescent="0.2">
      <c r="A159" s="86"/>
      <c r="B159" s="86"/>
      <c r="C159" s="86"/>
      <c r="D159" s="86"/>
      <c r="E159" s="86"/>
      <c r="F159" s="86"/>
      <c r="G159" s="86"/>
      <c r="H159" s="86"/>
      <c r="I159" s="86"/>
      <c r="J159" s="86"/>
      <c r="K159" s="86"/>
      <c r="L159" s="86"/>
      <c r="M159" s="86"/>
      <c r="N159" s="86"/>
    </row>
    <row r="160" spans="1:16" s="68" customFormat="1" x14ac:dyDescent="0.2">
      <c r="A160" s="86"/>
      <c r="B160" s="86"/>
      <c r="C160" s="86"/>
      <c r="D160" s="86"/>
      <c r="E160" s="86"/>
      <c r="F160" s="86"/>
      <c r="G160" s="86"/>
      <c r="H160" s="86"/>
      <c r="I160" s="86"/>
      <c r="J160" s="86"/>
      <c r="K160" s="86"/>
      <c r="L160" s="86"/>
      <c r="M160" s="86"/>
      <c r="N160" s="86"/>
    </row>
    <row r="161" spans="1:16" s="68" customFormat="1" x14ac:dyDescent="0.2">
      <c r="A161" s="86"/>
      <c r="B161" s="86"/>
      <c r="C161" s="86"/>
      <c r="D161" s="86"/>
      <c r="E161" s="86"/>
      <c r="F161" s="86"/>
      <c r="G161" s="86"/>
      <c r="H161" s="86"/>
      <c r="I161" s="86"/>
      <c r="J161" s="86"/>
      <c r="K161" s="86"/>
      <c r="L161" s="86"/>
      <c r="M161" s="86"/>
      <c r="N161" s="86"/>
    </row>
    <row r="162" spans="1:16" s="68" customFormat="1" x14ac:dyDescent="0.2">
      <c r="A162" s="86"/>
      <c r="B162" s="86"/>
      <c r="C162" s="86"/>
      <c r="D162" s="86"/>
      <c r="E162" s="86"/>
      <c r="F162" s="86"/>
      <c r="G162" s="86"/>
      <c r="H162" s="86"/>
      <c r="I162" s="86"/>
      <c r="J162" s="86"/>
      <c r="K162" s="86"/>
      <c r="L162" s="86"/>
      <c r="M162" s="86"/>
      <c r="N162" s="86"/>
    </row>
    <row r="163" spans="1:16" s="68" customFormat="1" x14ac:dyDescent="0.2">
      <c r="A163" s="86"/>
      <c r="B163" s="86"/>
      <c r="C163" s="86"/>
      <c r="D163" s="86"/>
      <c r="E163" s="86"/>
      <c r="F163" s="86"/>
      <c r="G163" s="86"/>
      <c r="H163" s="86"/>
      <c r="I163" s="86"/>
      <c r="J163" s="86"/>
      <c r="K163" s="86"/>
      <c r="L163" s="86"/>
      <c r="M163" s="86"/>
      <c r="N163" s="86"/>
    </row>
    <row r="164" spans="1:16" x14ac:dyDescent="0.2">
      <c r="N164" s="86"/>
      <c r="O164" s="86"/>
      <c r="P164" s="86"/>
    </row>
    <row r="165" spans="1:16" x14ac:dyDescent="0.2">
      <c r="N165" s="86"/>
      <c r="O165" s="86"/>
      <c r="P165" s="86"/>
    </row>
    <row r="166" spans="1:16" x14ac:dyDescent="0.2">
      <c r="N166" s="86"/>
      <c r="O166" s="86"/>
      <c r="P166" s="86"/>
    </row>
    <row r="167" spans="1:16" x14ac:dyDescent="0.2">
      <c r="N167" s="86"/>
      <c r="O167" s="86"/>
      <c r="P167" s="86"/>
    </row>
    <row r="168" spans="1:16" x14ac:dyDescent="0.2">
      <c r="N168" s="86"/>
      <c r="O168" s="86"/>
      <c r="P168" s="86"/>
    </row>
    <row r="169" spans="1:16" x14ac:dyDescent="0.2">
      <c r="N169" s="86"/>
      <c r="O169" s="86"/>
      <c r="P169" s="86"/>
    </row>
    <row r="170" spans="1:16" x14ac:dyDescent="0.2">
      <c r="N170" s="86"/>
      <c r="O170" s="86"/>
      <c r="P170" s="86"/>
    </row>
    <row r="171" spans="1:16" s="68" customFormat="1" x14ac:dyDescent="0.2">
      <c r="A171" s="86"/>
      <c r="B171" s="86"/>
      <c r="C171" s="86"/>
      <c r="D171" s="86"/>
      <c r="E171" s="86"/>
      <c r="F171" s="86"/>
      <c r="G171" s="86"/>
      <c r="H171" s="86"/>
      <c r="I171" s="86"/>
      <c r="J171" s="86"/>
      <c r="K171" s="86"/>
      <c r="L171" s="86"/>
      <c r="M171" s="86"/>
      <c r="N171" s="86"/>
    </row>
    <row r="172" spans="1:16" s="68" customFormat="1" x14ac:dyDescent="0.2">
      <c r="A172" s="86"/>
      <c r="B172" s="86"/>
      <c r="C172" s="86"/>
      <c r="D172" s="86"/>
      <c r="E172" s="86"/>
      <c r="F172" s="86"/>
      <c r="G172" s="86"/>
      <c r="H172" s="86"/>
      <c r="I172" s="86"/>
      <c r="J172" s="86"/>
      <c r="K172" s="86"/>
      <c r="L172" s="86"/>
      <c r="M172" s="86"/>
      <c r="N172" s="86"/>
    </row>
    <row r="173" spans="1:16" s="68" customFormat="1" x14ac:dyDescent="0.2">
      <c r="A173" s="86"/>
      <c r="B173" s="86"/>
      <c r="C173" s="86"/>
      <c r="D173" s="86"/>
      <c r="E173" s="86"/>
      <c r="F173" s="86"/>
      <c r="G173" s="86"/>
      <c r="H173" s="86"/>
      <c r="I173" s="86"/>
      <c r="J173" s="86"/>
      <c r="K173" s="86"/>
      <c r="L173" s="86"/>
      <c r="M173" s="86"/>
      <c r="N173" s="86"/>
    </row>
    <row r="174" spans="1:16" s="68" customFormat="1" x14ac:dyDescent="0.2">
      <c r="A174" s="86"/>
      <c r="B174" s="86"/>
      <c r="C174" s="86"/>
      <c r="D174" s="86"/>
      <c r="E174" s="86"/>
      <c r="F174" s="86"/>
      <c r="G174" s="86"/>
      <c r="H174" s="86"/>
      <c r="I174" s="86"/>
      <c r="J174" s="86"/>
      <c r="K174" s="86"/>
      <c r="L174" s="86"/>
      <c r="M174" s="86"/>
      <c r="N174" s="86"/>
    </row>
    <row r="175" spans="1:16" s="68" customFormat="1" x14ac:dyDescent="0.2">
      <c r="A175" s="86"/>
      <c r="B175" s="86"/>
      <c r="C175" s="86"/>
      <c r="D175" s="86"/>
      <c r="E175" s="86"/>
      <c r="F175" s="86"/>
      <c r="G175" s="86"/>
      <c r="H175" s="86"/>
      <c r="I175" s="86"/>
      <c r="J175" s="86"/>
      <c r="K175" s="86"/>
      <c r="L175" s="86"/>
      <c r="M175" s="86"/>
      <c r="N175" s="86"/>
    </row>
    <row r="176" spans="1:16" x14ac:dyDescent="0.2">
      <c r="N176" s="86"/>
      <c r="O176" s="86"/>
      <c r="P176" s="86"/>
    </row>
    <row r="177" s="86" customFormat="1" x14ac:dyDescent="0.2"/>
    <row r="178" s="86" customFormat="1" x14ac:dyDescent="0.2"/>
    <row r="179" s="86" customFormat="1" x14ac:dyDescent="0.2"/>
    <row r="180" s="86" customFormat="1" x14ac:dyDescent="0.2"/>
    <row r="181" s="86" customFormat="1" x14ac:dyDescent="0.2"/>
    <row r="182" s="86" customFormat="1" x14ac:dyDescent="0.2"/>
    <row r="183" s="86" customFormat="1" x14ac:dyDescent="0.2"/>
  </sheetData>
  <mergeCells count="14">
    <mergeCell ref="A1:D1"/>
    <mergeCell ref="L1:N1"/>
    <mergeCell ref="I4:K6"/>
    <mergeCell ref="B16:C16"/>
    <mergeCell ref="D16:F16"/>
    <mergeCell ref="G16:I16"/>
    <mergeCell ref="K16:M16"/>
    <mergeCell ref="A72:N72"/>
    <mergeCell ref="A82:B82"/>
    <mergeCell ref="A83:B83"/>
    <mergeCell ref="A99:B99"/>
    <mergeCell ref="B103:C103"/>
    <mergeCell ref="D103:E103"/>
    <mergeCell ref="F103:G103"/>
  </mergeCells>
  <conditionalFormatting sqref="D105">
    <cfRule type="cellIs" dxfId="38" priority="11" operator="equal">
      <formula>C105</formula>
    </cfRule>
  </conditionalFormatting>
  <conditionalFormatting sqref="E105:E106">
    <cfRule type="cellIs" dxfId="37" priority="10" operator="equal">
      <formula>D105</formula>
    </cfRule>
  </conditionalFormatting>
  <conditionalFormatting sqref="C105:C113">
    <cfRule type="cellIs" dxfId="36" priority="18" operator="equal">
      <formula>B105</formula>
    </cfRule>
  </conditionalFormatting>
  <conditionalFormatting sqref="D105:E113">
    <cfRule type="cellIs" dxfId="35" priority="17" operator="equal">
      <formula>C105</formula>
    </cfRule>
  </conditionalFormatting>
  <conditionalFormatting sqref="E105:E106">
    <cfRule type="cellIs" dxfId="34" priority="16" operator="equal">
      <formula>D105</formula>
    </cfRule>
  </conditionalFormatting>
  <conditionalFormatting sqref="F105">
    <cfRule type="cellIs" dxfId="33" priority="15" operator="equal">
      <formula>E105</formula>
    </cfRule>
  </conditionalFormatting>
  <conditionalFormatting sqref="F106:F113">
    <cfRule type="cellIs" dxfId="32" priority="13" operator="equal">
      <formula>G106</formula>
    </cfRule>
    <cfRule type="cellIs" dxfId="31" priority="14" operator="equal">
      <formula>E106</formula>
    </cfRule>
  </conditionalFormatting>
  <conditionalFormatting sqref="C105">
    <cfRule type="cellIs" dxfId="30" priority="12" operator="equal">
      <formula>B105</formula>
    </cfRule>
  </conditionalFormatting>
  <conditionalFormatting sqref="F105">
    <cfRule type="cellIs" dxfId="29" priority="9" operator="equal">
      <formula>E105</formula>
    </cfRule>
  </conditionalFormatting>
  <conditionalFormatting sqref="C105">
    <cfRule type="cellIs" dxfId="28" priority="8" operator="equal">
      <formula>B105</formula>
    </cfRule>
  </conditionalFormatting>
  <conditionalFormatting sqref="D105">
    <cfRule type="cellIs" dxfId="27" priority="7" operator="equal">
      <formula>C105</formula>
    </cfRule>
  </conditionalFormatting>
  <conditionalFormatting sqref="E105:E106">
    <cfRule type="cellIs" dxfId="26" priority="6" operator="equal">
      <formula>D105</formula>
    </cfRule>
  </conditionalFormatting>
  <conditionalFormatting sqref="F105">
    <cfRule type="cellIs" dxfId="25" priority="5" operator="equal">
      <formula>E105</formula>
    </cfRule>
  </conditionalFormatting>
  <conditionalFormatting sqref="C114:C115">
    <cfRule type="cellIs" dxfId="24" priority="4" operator="equal">
      <formula>B114</formula>
    </cfRule>
  </conditionalFormatting>
  <conditionalFormatting sqref="D114:E115">
    <cfRule type="cellIs" dxfId="23" priority="3" operator="equal">
      <formula>C114</formula>
    </cfRule>
  </conditionalFormatting>
  <conditionalFormatting sqref="F114:F115">
    <cfRule type="cellIs" dxfId="22" priority="1" operator="equal">
      <formula>G114</formula>
    </cfRule>
    <cfRule type="cellIs" dxfId="21" priority="2" operator="equal">
      <formula>E114</formula>
    </cfRule>
  </conditionalFormatting>
  <hyperlinks>
    <hyperlink ref="H1" location="Inventory!A1" display="Inventory" xr:uid="{00000000-0004-0000-0400-000000000000}"/>
    <hyperlink ref="H2" location="'VAW E2D FDNF DRRS(U)'!A117" display="AMFOM" xr:uid="{00000000-0004-0000-0400-000001000000}"/>
    <hyperlink ref="I103" location="'VAW E2D FDNF DRRS(U)'!A1" display="Top" xr:uid="{00000000-0004-0000-0400-000002000000}"/>
    <hyperlink ref="I104" location="Inventory!A1" display="Inventory" xr:uid="{00000000-0004-0000-0400-000003000000}"/>
  </hyperlinks>
  <printOptions horizontalCentered="1" verticalCentered="1"/>
  <pageMargins left="0.25" right="0.25" top="0.25" bottom="0.25" header="0.3" footer="0.3"/>
  <pageSetup scale="26" orientation="portrait" r:id="rId1"/>
  <rowBreaks count="1" manualBreakCount="1">
    <brk id="70"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AT128"/>
  <sheetViews>
    <sheetView showGridLines="0" topLeftCell="A17" zoomScaleNormal="100" workbookViewId="0">
      <selection activeCell="A39" sqref="A39:A48"/>
    </sheetView>
  </sheetViews>
  <sheetFormatPr defaultRowHeight="11.25" x14ac:dyDescent="0.2"/>
  <cols>
    <col min="1" max="1" width="50.85546875" style="86" bestFit="1" customWidth="1"/>
    <col min="2" max="29" width="5.7109375" style="86" customWidth="1"/>
    <col min="30" max="30" width="6.28515625" style="68" bestFit="1" customWidth="1"/>
    <col min="31" max="31" width="6.28515625" style="68" customWidth="1"/>
    <col min="32" max="32" width="4.7109375" style="68" bestFit="1" customWidth="1"/>
    <col min="33" max="16384" width="9.140625" style="86"/>
  </cols>
  <sheetData>
    <row r="1" spans="1:32" s="61" customFormat="1" ht="18.75" x14ac:dyDescent="0.3">
      <c r="A1" s="490" t="s">
        <v>211</v>
      </c>
      <c r="B1" s="490"/>
      <c r="C1" s="490"/>
      <c r="D1" s="490"/>
      <c r="E1" s="60"/>
      <c r="F1" s="60"/>
      <c r="H1" s="62" t="s">
        <v>46</v>
      </c>
      <c r="L1" s="63" t="s">
        <v>47</v>
      </c>
      <c r="M1" s="483">
        <v>44835</v>
      </c>
      <c r="N1" s="484"/>
      <c r="O1" s="485"/>
      <c r="P1" s="485"/>
      <c r="Q1" s="64"/>
      <c r="R1" s="64"/>
      <c r="S1" s="64"/>
      <c r="T1" s="64"/>
      <c r="U1" s="64"/>
      <c r="V1" s="64"/>
      <c r="W1" s="64"/>
      <c r="X1" s="64"/>
      <c r="Y1" s="64"/>
      <c r="Z1" s="64"/>
      <c r="AA1" s="64"/>
      <c r="AB1" s="64"/>
      <c r="AC1" s="363" t="s">
        <v>48</v>
      </c>
      <c r="AD1" s="365">
        <v>2.0299999999999998</v>
      </c>
    </row>
    <row r="2" spans="1:32" s="68" customFormat="1" ht="12.75" x14ac:dyDescent="0.2">
      <c r="A2" s="65" t="s">
        <v>49</v>
      </c>
      <c r="B2" s="66">
        <v>4</v>
      </c>
      <c r="C2" s="67"/>
      <c r="D2" s="67"/>
      <c r="E2" s="67"/>
      <c r="F2" s="67"/>
      <c r="G2" s="67"/>
      <c r="H2" s="394" t="s">
        <v>3</v>
      </c>
      <c r="I2" s="67"/>
      <c r="J2" s="67"/>
      <c r="K2" s="67"/>
      <c r="N2" s="67"/>
      <c r="O2" s="67"/>
      <c r="P2" s="67"/>
      <c r="Q2" s="67"/>
      <c r="R2" s="67"/>
      <c r="S2" s="67"/>
      <c r="T2" s="67"/>
      <c r="U2" s="67"/>
      <c r="V2" s="67"/>
      <c r="W2" s="67"/>
      <c r="X2" s="67"/>
      <c r="Y2" s="67"/>
      <c r="Z2" s="67"/>
      <c r="AA2" s="67"/>
      <c r="AB2" s="67"/>
      <c r="AC2" s="67"/>
    </row>
    <row r="3" spans="1:32" s="68" customFormat="1" x14ac:dyDescent="0.2">
      <c r="A3" s="65" t="s">
        <v>50</v>
      </c>
      <c r="B3" s="70">
        <v>1.25</v>
      </c>
      <c r="C3" s="67"/>
      <c r="D3" s="67"/>
      <c r="E3" s="67"/>
      <c r="F3" s="67"/>
      <c r="G3" s="67"/>
      <c r="H3" s="69"/>
      <c r="I3" s="69"/>
      <c r="J3" s="69"/>
      <c r="K3" s="69"/>
      <c r="N3" s="67"/>
      <c r="O3" s="67"/>
      <c r="P3" s="67"/>
      <c r="Q3" s="67"/>
      <c r="R3" s="67"/>
      <c r="S3" s="67"/>
      <c r="T3" s="67"/>
      <c r="U3" s="67"/>
      <c r="V3" s="67"/>
      <c r="W3" s="67"/>
      <c r="X3" s="67"/>
      <c r="Y3" s="67"/>
      <c r="Z3" s="67"/>
      <c r="AA3" s="67"/>
      <c r="AB3" s="67"/>
      <c r="AC3" s="67"/>
    </row>
    <row r="4" spans="1:32" s="68" customFormat="1" x14ac:dyDescent="0.2">
      <c r="A4" s="65" t="s">
        <v>51</v>
      </c>
      <c r="B4" s="66">
        <f>ROUND(B2*B3,0)</f>
        <v>5</v>
      </c>
      <c r="C4" s="67"/>
      <c r="D4" s="67"/>
      <c r="E4" s="67"/>
      <c r="F4" s="67"/>
      <c r="G4" s="67"/>
      <c r="H4" s="67"/>
      <c r="I4" s="67"/>
      <c r="J4" s="67"/>
      <c r="K4" s="67"/>
      <c r="N4" s="67"/>
      <c r="O4" s="67"/>
      <c r="P4" s="67"/>
      <c r="Q4" s="67"/>
      <c r="R4" s="67"/>
      <c r="S4" s="67"/>
      <c r="T4" s="67"/>
      <c r="U4" s="67"/>
      <c r="V4" s="67"/>
      <c r="W4" s="67"/>
      <c r="X4" s="67"/>
      <c r="Y4" s="67"/>
      <c r="Z4" s="67"/>
      <c r="AA4" s="67"/>
      <c r="AB4" s="67"/>
      <c r="AC4" s="67"/>
    </row>
    <row r="5" spans="1:32" s="68" customFormat="1" x14ac:dyDescent="0.2">
      <c r="A5" s="65" t="s">
        <v>52</v>
      </c>
      <c r="B5" s="67">
        <v>1.5</v>
      </c>
      <c r="C5" s="71"/>
      <c r="D5" s="67"/>
      <c r="E5" s="67"/>
      <c r="F5" s="67"/>
      <c r="G5" s="67"/>
      <c r="H5" s="67"/>
      <c r="I5" s="67"/>
      <c r="J5" s="67"/>
      <c r="K5" s="67"/>
      <c r="N5" s="67"/>
      <c r="O5" s="67"/>
      <c r="P5" s="67"/>
      <c r="Q5" s="67"/>
      <c r="R5" s="67"/>
      <c r="S5" s="67"/>
      <c r="T5" s="67"/>
      <c r="U5" s="67"/>
      <c r="V5" s="67"/>
      <c r="W5" s="67"/>
      <c r="X5" s="67"/>
      <c r="Y5" s="67"/>
      <c r="Z5" s="67"/>
      <c r="AA5" s="67"/>
      <c r="AB5" s="67"/>
      <c r="AC5" s="67"/>
    </row>
    <row r="6" spans="1:32" s="68" customFormat="1" x14ac:dyDescent="0.2">
      <c r="A6" s="72" t="s">
        <v>53</v>
      </c>
      <c r="B6" s="67">
        <v>27.5</v>
      </c>
      <c r="C6" s="71"/>
      <c r="D6" s="67"/>
      <c r="E6" s="67"/>
      <c r="F6" s="67"/>
      <c r="G6" s="67"/>
      <c r="H6" s="67"/>
      <c r="I6" s="67"/>
      <c r="J6" s="67"/>
      <c r="K6" s="67"/>
      <c r="L6" s="67"/>
      <c r="M6" s="67"/>
      <c r="N6" s="67"/>
      <c r="O6" s="67"/>
      <c r="P6" s="67"/>
      <c r="Q6" s="67"/>
      <c r="R6" s="67"/>
      <c r="S6" s="67"/>
      <c r="T6" s="67"/>
      <c r="U6" s="67"/>
      <c r="V6" s="67"/>
      <c r="W6" s="67"/>
      <c r="X6" s="67"/>
      <c r="Y6" s="67"/>
      <c r="Z6" s="67"/>
      <c r="AA6" s="67"/>
      <c r="AB6" s="67"/>
      <c r="AC6" s="67"/>
    </row>
    <row r="7" spans="1:32" s="68" customFormat="1" x14ac:dyDescent="0.2">
      <c r="A7" s="65" t="s">
        <v>54</v>
      </c>
      <c r="B7" s="67">
        <f>B6*B4</f>
        <v>137.5</v>
      </c>
      <c r="C7" s="69"/>
      <c r="D7" s="69"/>
      <c r="E7" s="67"/>
      <c r="F7" s="67"/>
      <c r="G7" s="67"/>
      <c r="H7" s="67"/>
      <c r="I7" s="67"/>
      <c r="J7" s="67"/>
      <c r="K7" s="67"/>
      <c r="L7" s="67"/>
      <c r="M7" s="67"/>
      <c r="N7" s="67"/>
      <c r="O7" s="67"/>
      <c r="P7" s="67"/>
      <c r="Q7" s="67"/>
      <c r="R7" s="67"/>
      <c r="S7" s="67"/>
      <c r="T7" s="67"/>
      <c r="U7" s="67"/>
      <c r="V7" s="67"/>
      <c r="W7" s="67"/>
      <c r="X7" s="67"/>
      <c r="Y7" s="67"/>
      <c r="Z7" s="67"/>
      <c r="AA7" s="67"/>
      <c r="AB7" s="67"/>
      <c r="AC7" s="67"/>
    </row>
    <row r="8" spans="1:32" s="68" customFormat="1" x14ac:dyDescent="0.2">
      <c r="A8" s="65" t="s">
        <v>55</v>
      </c>
      <c r="B8" s="67">
        <f>B7/B5</f>
        <v>91.666666666666671</v>
      </c>
      <c r="C8" s="67"/>
      <c r="D8" s="69"/>
      <c r="E8" s="67"/>
      <c r="F8" s="73"/>
      <c r="G8" s="67"/>
      <c r="H8" s="67"/>
      <c r="I8" s="67"/>
      <c r="J8" s="67"/>
      <c r="K8" s="67"/>
      <c r="L8" s="67"/>
      <c r="M8" s="67"/>
      <c r="N8" s="67"/>
      <c r="O8" s="67"/>
      <c r="P8" s="67"/>
      <c r="Q8" s="67"/>
      <c r="R8" s="67"/>
      <c r="S8" s="67"/>
      <c r="T8" s="67"/>
      <c r="U8" s="67"/>
      <c r="V8" s="67"/>
      <c r="W8" s="67"/>
      <c r="X8" s="67"/>
      <c r="Y8" s="67"/>
      <c r="Z8" s="67"/>
      <c r="AA8" s="67"/>
      <c r="AB8" s="67"/>
      <c r="AC8" s="67"/>
    </row>
    <row r="9" spans="1:32" s="68" customFormat="1" x14ac:dyDescent="0.2">
      <c r="A9" s="65" t="s">
        <v>56</v>
      </c>
      <c r="B9" s="67">
        <f>B4*C9</f>
        <v>5</v>
      </c>
      <c r="C9" s="67">
        <v>1</v>
      </c>
      <c r="D9" s="69" t="s">
        <v>57</v>
      </c>
      <c r="E9" s="73"/>
      <c r="F9" s="73"/>
      <c r="G9" s="8" t="s">
        <v>58</v>
      </c>
      <c r="H9" s="9">
        <v>0.4</v>
      </c>
      <c r="I9" s="73"/>
      <c r="J9" s="73"/>
      <c r="K9" s="73"/>
      <c r="L9" s="73"/>
      <c r="M9" s="73"/>
      <c r="N9" s="73"/>
      <c r="O9" s="73"/>
      <c r="P9" s="73"/>
      <c r="Q9" s="73"/>
      <c r="R9" s="73"/>
      <c r="S9" s="73"/>
      <c r="T9" s="73"/>
      <c r="U9" s="73"/>
      <c r="V9" s="73"/>
      <c r="W9" s="73"/>
      <c r="X9" s="73"/>
      <c r="Y9" s="73"/>
      <c r="Z9" s="73"/>
      <c r="AA9" s="73"/>
      <c r="AB9" s="73"/>
      <c r="AC9" s="73"/>
      <c r="AD9" s="74"/>
      <c r="AE9" s="74"/>
      <c r="AF9" s="74"/>
    </row>
    <row r="10" spans="1:32" s="68" customFormat="1" x14ac:dyDescent="0.2">
      <c r="A10" s="65" t="s">
        <v>59</v>
      </c>
      <c r="B10" s="67">
        <f>B4*C10</f>
        <v>110.5</v>
      </c>
      <c r="C10" s="67">
        <v>22.1</v>
      </c>
      <c r="D10" s="69" t="s">
        <v>57</v>
      </c>
      <c r="E10" s="69"/>
      <c r="F10" s="69"/>
      <c r="G10" s="10" t="s">
        <v>60</v>
      </c>
      <c r="H10" s="9">
        <v>0.32300000000000001</v>
      </c>
      <c r="I10" s="69"/>
      <c r="J10" s="69"/>
      <c r="K10" s="69"/>
      <c r="L10" s="69"/>
      <c r="M10" s="69"/>
      <c r="N10" s="69"/>
      <c r="O10" s="69"/>
      <c r="P10" s="69"/>
      <c r="Q10" s="69"/>
      <c r="R10" s="69"/>
      <c r="S10" s="69"/>
      <c r="T10" s="69"/>
      <c r="U10" s="69"/>
      <c r="V10" s="69"/>
      <c r="W10" s="69"/>
      <c r="X10" s="69"/>
      <c r="Y10" s="69"/>
      <c r="Z10" s="69"/>
      <c r="AA10" s="69"/>
      <c r="AB10" s="69"/>
      <c r="AC10" s="69"/>
    </row>
    <row r="11" spans="1:32" s="68" customFormat="1" x14ac:dyDescent="0.2">
      <c r="A11" s="181" t="s">
        <v>61</v>
      </c>
      <c r="B11" s="182">
        <f>C11*B4</f>
        <v>15</v>
      </c>
      <c r="C11" s="183">
        <v>3</v>
      </c>
      <c r="D11" s="184" t="s">
        <v>57</v>
      </c>
      <c r="E11" s="69"/>
      <c r="F11" s="69"/>
      <c r="G11" s="10"/>
      <c r="H11" s="9"/>
      <c r="I11" s="69"/>
      <c r="J11" s="69"/>
      <c r="K11" s="69"/>
      <c r="L11" s="69"/>
      <c r="M11" s="69"/>
      <c r="N11" s="69"/>
      <c r="O11" s="69"/>
      <c r="P11" s="69"/>
      <c r="Q11" s="69"/>
      <c r="R11" s="69"/>
      <c r="S11" s="69"/>
      <c r="T11" s="69"/>
      <c r="U11" s="69"/>
      <c r="V11" s="69"/>
      <c r="W11" s="69"/>
      <c r="X11" s="69"/>
      <c r="Y11" s="69"/>
      <c r="Z11" s="69"/>
      <c r="AA11" s="69"/>
      <c r="AB11" s="69"/>
      <c r="AC11" s="69"/>
    </row>
    <row r="12" spans="1:32" s="68" customFormat="1" x14ac:dyDescent="0.2">
      <c r="C12" s="75"/>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row>
    <row r="13" spans="1:32" s="79" customFormat="1" ht="59.25" x14ac:dyDescent="0.2">
      <c r="A13" s="76" t="s">
        <v>62</v>
      </c>
      <c r="B13" s="77" t="s">
        <v>63</v>
      </c>
      <c r="C13" s="77" t="s">
        <v>63</v>
      </c>
      <c r="D13" s="77" t="s">
        <v>63</v>
      </c>
      <c r="E13" s="77" t="s">
        <v>63</v>
      </c>
      <c r="F13" s="77" t="s">
        <v>63</v>
      </c>
      <c r="G13" s="77" t="s">
        <v>63</v>
      </c>
      <c r="H13" s="77" t="s">
        <v>64</v>
      </c>
      <c r="I13" s="77" t="s">
        <v>64</v>
      </c>
      <c r="J13" s="77" t="s">
        <v>64</v>
      </c>
      <c r="K13" s="77" t="s">
        <v>65</v>
      </c>
      <c r="L13" s="77" t="s">
        <v>66</v>
      </c>
      <c r="M13" s="77" t="s">
        <v>66</v>
      </c>
      <c r="N13" s="77" t="s">
        <v>67</v>
      </c>
      <c r="O13" s="77" t="s">
        <v>67</v>
      </c>
      <c r="P13" s="77" t="s">
        <v>67</v>
      </c>
      <c r="Q13" s="77" t="s">
        <v>67</v>
      </c>
      <c r="R13" s="77" t="s">
        <v>68</v>
      </c>
      <c r="S13" s="77" t="s">
        <v>68</v>
      </c>
      <c r="T13" s="77" t="s">
        <v>68</v>
      </c>
      <c r="U13" s="77" t="s">
        <v>68</v>
      </c>
      <c r="V13" s="77" t="s">
        <v>68</v>
      </c>
      <c r="W13" s="77" t="s">
        <v>68</v>
      </c>
      <c r="X13" s="77" t="s">
        <v>69</v>
      </c>
      <c r="Y13" s="77" t="s">
        <v>69</v>
      </c>
      <c r="Z13" s="77" t="s">
        <v>69</v>
      </c>
      <c r="AA13" s="77" t="s">
        <v>69</v>
      </c>
      <c r="AB13" s="78" t="s">
        <v>69</v>
      </c>
      <c r="AC13" s="23" t="s">
        <v>70</v>
      </c>
    </row>
    <row r="14" spans="1:32" s="79" customFormat="1" ht="12" x14ac:dyDescent="0.2">
      <c r="A14" s="76" t="s">
        <v>71</v>
      </c>
      <c r="B14" s="80" t="s">
        <v>72</v>
      </c>
      <c r="C14" s="80" t="s">
        <v>73</v>
      </c>
      <c r="D14" s="80" t="s">
        <v>74</v>
      </c>
      <c r="E14" s="80" t="s">
        <v>75</v>
      </c>
      <c r="F14" s="80" t="s">
        <v>76</v>
      </c>
      <c r="G14" s="80" t="s">
        <v>77</v>
      </c>
      <c r="H14" s="80" t="s">
        <v>78</v>
      </c>
      <c r="I14" s="80" t="s">
        <v>79</v>
      </c>
      <c r="J14" s="80" t="s">
        <v>80</v>
      </c>
      <c r="K14" s="80" t="s">
        <v>81</v>
      </c>
      <c r="L14" s="80" t="s">
        <v>82</v>
      </c>
      <c r="M14" s="80" t="s">
        <v>83</v>
      </c>
      <c r="N14" s="80" t="s">
        <v>84</v>
      </c>
      <c r="O14" s="80" t="s">
        <v>85</v>
      </c>
      <c r="P14" s="80" t="s">
        <v>86</v>
      </c>
      <c r="Q14" s="80" t="s">
        <v>87</v>
      </c>
      <c r="R14" s="80" t="s">
        <v>88</v>
      </c>
      <c r="S14" s="80" t="s">
        <v>89</v>
      </c>
      <c r="T14" s="80" t="s">
        <v>90</v>
      </c>
      <c r="U14" s="80" t="s">
        <v>91</v>
      </c>
      <c r="V14" s="80" t="s">
        <v>92</v>
      </c>
      <c r="W14" s="80" t="s">
        <v>93</v>
      </c>
      <c r="X14" s="80" t="s">
        <v>87</v>
      </c>
      <c r="Y14" s="80" t="s">
        <v>94</v>
      </c>
      <c r="Z14" s="80" t="s">
        <v>95</v>
      </c>
      <c r="AA14" s="80" t="s">
        <v>96</v>
      </c>
      <c r="AB14" s="462" t="s">
        <v>97</v>
      </c>
      <c r="AC14" s="24" t="s">
        <v>98</v>
      </c>
    </row>
    <row r="15" spans="1:32" s="79" customFormat="1" ht="12" x14ac:dyDescent="0.2">
      <c r="A15" s="76" t="s">
        <v>99</v>
      </c>
      <c r="B15" s="80">
        <v>1</v>
      </c>
      <c r="C15" s="80">
        <v>2</v>
      </c>
      <c r="D15" s="80">
        <v>3</v>
      </c>
      <c r="E15" s="80">
        <v>4</v>
      </c>
      <c r="F15" s="80">
        <v>5</v>
      </c>
      <c r="G15" s="80">
        <v>6</v>
      </c>
      <c r="H15" s="80">
        <v>7</v>
      </c>
      <c r="I15" s="80">
        <v>8</v>
      </c>
      <c r="J15" s="80">
        <v>9</v>
      </c>
      <c r="K15" s="80">
        <v>10</v>
      </c>
      <c r="L15" s="80">
        <v>11</v>
      </c>
      <c r="M15" s="80">
        <v>12</v>
      </c>
      <c r="N15" s="80">
        <v>13</v>
      </c>
      <c r="O15" s="80">
        <v>14</v>
      </c>
      <c r="P15" s="80">
        <v>15</v>
      </c>
      <c r="Q15" s="80">
        <v>16</v>
      </c>
      <c r="R15" s="80">
        <v>17</v>
      </c>
      <c r="S15" s="80">
        <v>18</v>
      </c>
      <c r="T15" s="80">
        <v>19</v>
      </c>
      <c r="U15" s="80">
        <v>20</v>
      </c>
      <c r="V15" s="80">
        <v>21</v>
      </c>
      <c r="W15" s="80">
        <v>22</v>
      </c>
      <c r="X15" s="80">
        <v>23</v>
      </c>
      <c r="Y15" s="80">
        <v>24</v>
      </c>
      <c r="Z15" s="80">
        <v>25</v>
      </c>
      <c r="AA15" s="80">
        <v>26</v>
      </c>
      <c r="AB15" s="462">
        <v>27</v>
      </c>
      <c r="AC15" s="24">
        <v>28</v>
      </c>
    </row>
    <row r="16" spans="1:32" s="82" customFormat="1" ht="12" x14ac:dyDescent="0.2">
      <c r="A16" s="76" t="s">
        <v>100</v>
      </c>
      <c r="B16" s="480" t="s">
        <v>101</v>
      </c>
      <c r="C16" s="481"/>
      <c r="D16" s="481"/>
      <c r="E16" s="481"/>
      <c r="F16" s="481"/>
      <c r="G16" s="482"/>
      <c r="H16" s="470" t="s">
        <v>102</v>
      </c>
      <c r="I16" s="471"/>
      <c r="J16" s="479"/>
      <c r="K16" s="470" t="s">
        <v>103</v>
      </c>
      <c r="L16" s="471"/>
      <c r="M16" s="479"/>
      <c r="N16" s="470" t="s">
        <v>67</v>
      </c>
      <c r="O16" s="471"/>
      <c r="P16" s="471"/>
      <c r="Q16" s="479"/>
      <c r="R16" s="470" t="s">
        <v>104</v>
      </c>
      <c r="S16" s="471"/>
      <c r="T16" s="471"/>
      <c r="U16" s="471"/>
      <c r="V16" s="471"/>
      <c r="W16" s="479"/>
      <c r="X16" s="470" t="s">
        <v>69</v>
      </c>
      <c r="Y16" s="471"/>
      <c r="Z16" s="471"/>
      <c r="AA16" s="471"/>
      <c r="AB16" s="479"/>
      <c r="AC16" s="24" t="s">
        <v>105</v>
      </c>
    </row>
    <row r="17" spans="1:32" ht="12.75" x14ac:dyDescent="0.2">
      <c r="A17" s="83" t="s">
        <v>106</v>
      </c>
      <c r="B17" s="84"/>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25"/>
    </row>
    <row r="18" spans="1:32" ht="12" x14ac:dyDescent="0.2">
      <c r="A18" s="36" t="s">
        <v>107</v>
      </c>
      <c r="B18" s="26">
        <f>IF(B75&lt;80,B76,MIN(B75,80))</f>
        <v>0</v>
      </c>
      <c r="C18" s="26">
        <f t="shared" ref="C18:AC18" si="0">IF(C75&lt;80,C76,MIN(C75,80))</f>
        <v>0</v>
      </c>
      <c r="D18" s="26">
        <f t="shared" si="0"/>
        <v>0</v>
      </c>
      <c r="E18" s="26">
        <f t="shared" si="0"/>
        <v>0</v>
      </c>
      <c r="F18" s="26">
        <f t="shared" si="0"/>
        <v>0</v>
      </c>
      <c r="G18" s="26">
        <f t="shared" si="0"/>
        <v>0.34824545979032351</v>
      </c>
      <c r="H18" s="26">
        <f t="shared" si="0"/>
        <v>2.3482454597903235</v>
      </c>
      <c r="I18" s="26">
        <f t="shared" si="0"/>
        <v>2.3482454597903235</v>
      </c>
      <c r="J18" s="26">
        <f t="shared" si="0"/>
        <v>12.348245459790324</v>
      </c>
      <c r="K18" s="26">
        <f t="shared" si="0"/>
        <v>37.34824545979032</v>
      </c>
      <c r="L18" s="26">
        <f t="shared" si="0"/>
        <v>80</v>
      </c>
      <c r="M18" s="26">
        <f t="shared" si="0"/>
        <v>80</v>
      </c>
      <c r="N18" s="26">
        <f t="shared" si="0"/>
        <v>80</v>
      </c>
      <c r="O18" s="26">
        <f t="shared" si="0"/>
        <v>80</v>
      </c>
      <c r="P18" s="26">
        <f t="shared" si="0"/>
        <v>80</v>
      </c>
      <c r="Q18" s="26">
        <f t="shared" si="0"/>
        <v>80</v>
      </c>
      <c r="R18" s="26">
        <f t="shared" si="0"/>
        <v>80</v>
      </c>
      <c r="S18" s="26">
        <f t="shared" si="0"/>
        <v>80</v>
      </c>
      <c r="T18" s="26">
        <f t="shared" si="0"/>
        <v>80</v>
      </c>
      <c r="U18" s="26">
        <f t="shared" si="0"/>
        <v>80</v>
      </c>
      <c r="V18" s="26">
        <f t="shared" si="0"/>
        <v>80</v>
      </c>
      <c r="W18" s="26">
        <f t="shared" si="0"/>
        <v>80</v>
      </c>
      <c r="X18" s="26">
        <f t="shared" si="0"/>
        <v>80</v>
      </c>
      <c r="Y18" s="26">
        <f t="shared" si="0"/>
        <v>80</v>
      </c>
      <c r="Z18" s="26">
        <f t="shared" si="0"/>
        <v>80</v>
      </c>
      <c r="AA18" s="26">
        <f t="shared" si="0"/>
        <v>61.34824545979032</v>
      </c>
      <c r="AB18" s="26">
        <f t="shared" si="0"/>
        <v>42.34824545979032</v>
      </c>
      <c r="AC18" s="26">
        <f t="shared" si="0"/>
        <v>0</v>
      </c>
    </row>
    <row r="19" spans="1:32" ht="12" x14ac:dyDescent="0.2">
      <c r="A19" s="1" t="s">
        <v>108</v>
      </c>
      <c r="B19" s="87">
        <v>0.5</v>
      </c>
      <c r="C19" s="87">
        <v>0.5</v>
      </c>
      <c r="D19" s="87">
        <v>0.5</v>
      </c>
      <c r="E19" s="87">
        <v>0.5</v>
      </c>
      <c r="F19" s="87">
        <v>0.5</v>
      </c>
      <c r="G19" s="87">
        <v>0.5</v>
      </c>
      <c r="H19" s="87">
        <v>0.55000000000000004</v>
      </c>
      <c r="I19" s="87">
        <v>0.6</v>
      </c>
      <c r="J19" s="87">
        <v>0.65</v>
      </c>
      <c r="K19" s="87">
        <v>0.7</v>
      </c>
      <c r="L19" s="87">
        <v>0.7</v>
      </c>
      <c r="M19" s="87">
        <v>0.7</v>
      </c>
      <c r="N19" s="87">
        <v>0.7</v>
      </c>
      <c r="O19" s="87">
        <v>0.7</v>
      </c>
      <c r="P19" s="87">
        <v>0.7</v>
      </c>
      <c r="Q19" s="87">
        <v>0.4</v>
      </c>
      <c r="R19" s="87">
        <v>0.8</v>
      </c>
      <c r="S19" s="87">
        <v>0.8</v>
      </c>
      <c r="T19" s="87">
        <v>0.8</v>
      </c>
      <c r="U19" s="87">
        <v>0.8</v>
      </c>
      <c r="V19" s="87">
        <v>0.8</v>
      </c>
      <c r="W19" s="87">
        <v>0.7</v>
      </c>
      <c r="X19" s="87">
        <v>0.4</v>
      </c>
      <c r="Y19" s="87">
        <v>0.6</v>
      </c>
      <c r="Z19" s="87">
        <v>0.6</v>
      </c>
      <c r="AA19" s="87">
        <v>0.6</v>
      </c>
      <c r="AB19" s="88">
        <v>0.6</v>
      </c>
      <c r="AC19" s="27">
        <v>0.4</v>
      </c>
    </row>
    <row r="20" spans="1:32" ht="12" x14ac:dyDescent="0.2">
      <c r="A20" s="185" t="s">
        <v>109</v>
      </c>
      <c r="B20" s="186"/>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8"/>
      <c r="AC20" s="188"/>
    </row>
    <row r="21" spans="1:32" ht="12" x14ac:dyDescent="0.2">
      <c r="A21" s="2" t="s">
        <v>110</v>
      </c>
      <c r="B21" s="11">
        <f t="shared" ref="B21:AB21" si="1">B19*$B$8</f>
        <v>45.833333333333336</v>
      </c>
      <c r="C21" s="11">
        <f t="shared" si="1"/>
        <v>45.833333333333336</v>
      </c>
      <c r="D21" s="11">
        <f t="shared" si="1"/>
        <v>45.833333333333336</v>
      </c>
      <c r="E21" s="11">
        <f t="shared" si="1"/>
        <v>45.833333333333336</v>
      </c>
      <c r="F21" s="11">
        <f t="shared" si="1"/>
        <v>45.833333333333336</v>
      </c>
      <c r="G21" s="11">
        <f t="shared" si="1"/>
        <v>45.833333333333336</v>
      </c>
      <c r="H21" s="11">
        <f t="shared" si="1"/>
        <v>50.416666666666671</v>
      </c>
      <c r="I21" s="11">
        <f t="shared" si="1"/>
        <v>55</v>
      </c>
      <c r="J21" s="11">
        <f t="shared" si="1"/>
        <v>59.583333333333336</v>
      </c>
      <c r="K21" s="11">
        <f t="shared" si="1"/>
        <v>64.166666666666671</v>
      </c>
      <c r="L21" s="11">
        <f t="shared" si="1"/>
        <v>64.166666666666671</v>
      </c>
      <c r="M21" s="11">
        <f t="shared" si="1"/>
        <v>64.166666666666671</v>
      </c>
      <c r="N21" s="11">
        <f t="shared" si="1"/>
        <v>64.166666666666671</v>
      </c>
      <c r="O21" s="11">
        <f t="shared" si="1"/>
        <v>64.166666666666671</v>
      </c>
      <c r="P21" s="11">
        <f t="shared" si="1"/>
        <v>64.166666666666671</v>
      </c>
      <c r="Q21" s="11">
        <f t="shared" si="1"/>
        <v>36.666666666666671</v>
      </c>
      <c r="R21" s="11">
        <f t="shared" si="1"/>
        <v>73.333333333333343</v>
      </c>
      <c r="S21" s="11">
        <f t="shared" si="1"/>
        <v>73.333333333333343</v>
      </c>
      <c r="T21" s="11">
        <f t="shared" si="1"/>
        <v>73.333333333333343</v>
      </c>
      <c r="U21" s="11">
        <f t="shared" si="1"/>
        <v>73.333333333333343</v>
      </c>
      <c r="V21" s="11">
        <f t="shared" si="1"/>
        <v>73.333333333333343</v>
      </c>
      <c r="W21" s="11">
        <f t="shared" si="1"/>
        <v>64.166666666666671</v>
      </c>
      <c r="X21" s="11">
        <f t="shared" si="1"/>
        <v>36.666666666666671</v>
      </c>
      <c r="Y21" s="11">
        <f t="shared" si="1"/>
        <v>55</v>
      </c>
      <c r="Z21" s="11">
        <f t="shared" si="1"/>
        <v>55</v>
      </c>
      <c r="AA21" s="11">
        <f t="shared" si="1"/>
        <v>55</v>
      </c>
      <c r="AB21" s="12">
        <f t="shared" si="1"/>
        <v>55</v>
      </c>
      <c r="AC21" s="11">
        <f>AC19*$B$8</f>
        <v>36.666666666666671</v>
      </c>
    </row>
    <row r="22" spans="1:32" ht="12" x14ac:dyDescent="0.2">
      <c r="A22" s="2" t="s">
        <v>111</v>
      </c>
      <c r="B22" s="4">
        <f t="shared" ref="B22:AC22" si="2">B21*$B$5</f>
        <v>68.75</v>
      </c>
      <c r="C22" s="4">
        <f t="shared" si="2"/>
        <v>68.75</v>
      </c>
      <c r="D22" s="4">
        <f t="shared" si="2"/>
        <v>68.75</v>
      </c>
      <c r="E22" s="4">
        <f t="shared" si="2"/>
        <v>68.75</v>
      </c>
      <c r="F22" s="4">
        <f t="shared" si="2"/>
        <v>68.75</v>
      </c>
      <c r="G22" s="4">
        <f t="shared" si="2"/>
        <v>68.75</v>
      </c>
      <c r="H22" s="4">
        <f t="shared" si="2"/>
        <v>75.625</v>
      </c>
      <c r="I22" s="4">
        <f t="shared" si="2"/>
        <v>82.5</v>
      </c>
      <c r="J22" s="4">
        <f t="shared" si="2"/>
        <v>89.375</v>
      </c>
      <c r="K22" s="4">
        <f t="shared" si="2"/>
        <v>96.25</v>
      </c>
      <c r="L22" s="4">
        <f t="shared" si="2"/>
        <v>96.25</v>
      </c>
      <c r="M22" s="4">
        <f t="shared" si="2"/>
        <v>96.25</v>
      </c>
      <c r="N22" s="4">
        <f t="shared" si="2"/>
        <v>96.25</v>
      </c>
      <c r="O22" s="4">
        <f t="shared" si="2"/>
        <v>96.25</v>
      </c>
      <c r="P22" s="4">
        <f t="shared" si="2"/>
        <v>96.25</v>
      </c>
      <c r="Q22" s="4">
        <f t="shared" si="2"/>
        <v>55.000000000000007</v>
      </c>
      <c r="R22" s="4">
        <f t="shared" si="2"/>
        <v>110.00000000000001</v>
      </c>
      <c r="S22" s="4">
        <f t="shared" si="2"/>
        <v>110.00000000000001</v>
      </c>
      <c r="T22" s="4">
        <f t="shared" si="2"/>
        <v>110.00000000000001</v>
      </c>
      <c r="U22" s="4">
        <f t="shared" si="2"/>
        <v>110.00000000000001</v>
      </c>
      <c r="V22" s="4">
        <f t="shared" si="2"/>
        <v>110.00000000000001</v>
      </c>
      <c r="W22" s="4">
        <f t="shared" si="2"/>
        <v>96.25</v>
      </c>
      <c r="X22" s="4">
        <f t="shared" si="2"/>
        <v>55.000000000000007</v>
      </c>
      <c r="Y22" s="4">
        <f t="shared" si="2"/>
        <v>82.5</v>
      </c>
      <c r="Z22" s="4">
        <f t="shared" si="2"/>
        <v>82.5</v>
      </c>
      <c r="AA22" s="4">
        <f t="shared" si="2"/>
        <v>82.5</v>
      </c>
      <c r="AB22" s="6">
        <f t="shared" si="2"/>
        <v>82.5</v>
      </c>
      <c r="AC22" s="4">
        <f t="shared" si="2"/>
        <v>55.000000000000007</v>
      </c>
    </row>
    <row r="23" spans="1:32" ht="12" x14ac:dyDescent="0.2">
      <c r="A23" s="2" t="s">
        <v>112</v>
      </c>
      <c r="B23" s="13">
        <f>$B$9</f>
        <v>5</v>
      </c>
      <c r="C23" s="13">
        <f t="shared" ref="C23:AC23" si="3">$B$9</f>
        <v>5</v>
      </c>
      <c r="D23" s="13">
        <f t="shared" si="3"/>
        <v>5</v>
      </c>
      <c r="E23" s="13">
        <f t="shared" si="3"/>
        <v>5</v>
      </c>
      <c r="F23" s="13">
        <f t="shared" si="3"/>
        <v>5</v>
      </c>
      <c r="G23" s="13">
        <f t="shared" si="3"/>
        <v>5</v>
      </c>
      <c r="H23" s="13">
        <f t="shared" si="3"/>
        <v>5</v>
      </c>
      <c r="I23" s="13">
        <f t="shared" si="3"/>
        <v>5</v>
      </c>
      <c r="J23" s="13">
        <f t="shared" si="3"/>
        <v>5</v>
      </c>
      <c r="K23" s="13">
        <f t="shared" si="3"/>
        <v>5</v>
      </c>
      <c r="L23" s="13">
        <f t="shared" si="3"/>
        <v>5</v>
      </c>
      <c r="M23" s="13">
        <f t="shared" si="3"/>
        <v>5</v>
      </c>
      <c r="N23" s="13">
        <f t="shared" si="3"/>
        <v>5</v>
      </c>
      <c r="O23" s="13">
        <f t="shared" si="3"/>
        <v>5</v>
      </c>
      <c r="P23" s="13">
        <f t="shared" si="3"/>
        <v>5</v>
      </c>
      <c r="Q23" s="13">
        <f t="shared" si="3"/>
        <v>5</v>
      </c>
      <c r="R23" s="13">
        <f t="shared" si="3"/>
        <v>5</v>
      </c>
      <c r="S23" s="13">
        <f t="shared" si="3"/>
        <v>5</v>
      </c>
      <c r="T23" s="13">
        <f t="shared" si="3"/>
        <v>5</v>
      </c>
      <c r="U23" s="13">
        <f t="shared" si="3"/>
        <v>5</v>
      </c>
      <c r="V23" s="13">
        <f t="shared" si="3"/>
        <v>5</v>
      </c>
      <c r="W23" s="13">
        <f t="shared" si="3"/>
        <v>5</v>
      </c>
      <c r="X23" s="13">
        <f t="shared" si="3"/>
        <v>5</v>
      </c>
      <c r="Y23" s="13">
        <f t="shared" si="3"/>
        <v>5</v>
      </c>
      <c r="Z23" s="13">
        <f t="shared" si="3"/>
        <v>5</v>
      </c>
      <c r="AA23" s="13">
        <f t="shared" si="3"/>
        <v>5</v>
      </c>
      <c r="AB23" s="14">
        <f t="shared" si="3"/>
        <v>5</v>
      </c>
      <c r="AC23" s="13">
        <f t="shared" si="3"/>
        <v>5</v>
      </c>
    </row>
    <row r="24" spans="1:32" ht="12" x14ac:dyDescent="0.2">
      <c r="A24" s="2" t="s">
        <v>113</v>
      </c>
      <c r="B24" s="13">
        <f t="shared" ref="B24:AB24" si="4">IF(ISBLANK(B101),0,$B$10)</f>
        <v>0</v>
      </c>
      <c r="C24" s="13">
        <f t="shared" si="4"/>
        <v>0</v>
      </c>
      <c r="D24" s="13">
        <f t="shared" si="4"/>
        <v>0</v>
      </c>
      <c r="E24" s="13">
        <f t="shared" si="4"/>
        <v>0</v>
      </c>
      <c r="F24" s="13">
        <f t="shared" si="4"/>
        <v>0</v>
      </c>
      <c r="G24" s="13">
        <f t="shared" si="4"/>
        <v>0</v>
      </c>
      <c r="H24" s="13">
        <f t="shared" si="4"/>
        <v>0</v>
      </c>
      <c r="I24" s="13">
        <f t="shared" si="4"/>
        <v>0</v>
      </c>
      <c r="J24" s="13">
        <f t="shared" si="4"/>
        <v>110.5</v>
      </c>
      <c r="K24" s="13">
        <f t="shared" si="4"/>
        <v>0</v>
      </c>
      <c r="L24" s="13">
        <f t="shared" si="4"/>
        <v>110.5</v>
      </c>
      <c r="M24" s="13">
        <f t="shared" si="4"/>
        <v>110.5</v>
      </c>
      <c r="N24" s="13">
        <f t="shared" si="4"/>
        <v>0</v>
      </c>
      <c r="O24" s="13">
        <f t="shared" si="4"/>
        <v>0</v>
      </c>
      <c r="P24" s="13">
        <f t="shared" si="4"/>
        <v>110.5</v>
      </c>
      <c r="Q24" s="13">
        <f t="shared" si="4"/>
        <v>0</v>
      </c>
      <c r="R24" s="13">
        <f t="shared" si="4"/>
        <v>110.5</v>
      </c>
      <c r="S24" s="13">
        <f t="shared" si="4"/>
        <v>110.5</v>
      </c>
      <c r="T24" s="13">
        <f t="shared" si="4"/>
        <v>110.5</v>
      </c>
      <c r="U24" s="13">
        <f t="shared" si="4"/>
        <v>110.5</v>
      </c>
      <c r="V24" s="13">
        <f t="shared" si="4"/>
        <v>110.5</v>
      </c>
      <c r="W24" s="13">
        <f t="shared" si="4"/>
        <v>110.5</v>
      </c>
      <c r="X24" s="13">
        <f t="shared" si="4"/>
        <v>0</v>
      </c>
      <c r="Y24" s="13">
        <f t="shared" si="4"/>
        <v>0</v>
      </c>
      <c r="Z24" s="13">
        <f t="shared" si="4"/>
        <v>0</v>
      </c>
      <c r="AA24" s="13">
        <f t="shared" si="4"/>
        <v>0</v>
      </c>
      <c r="AB24" s="13">
        <f t="shared" si="4"/>
        <v>0</v>
      </c>
      <c r="AC24" s="13">
        <f>IF(ISBLANK(AC97),0,$B$10)</f>
        <v>0</v>
      </c>
    </row>
    <row r="25" spans="1:32" ht="12" x14ac:dyDescent="0.2">
      <c r="A25" s="2" t="s">
        <v>114</v>
      </c>
      <c r="B25" s="4">
        <f>B21*$B$5+SUM(B23:B24)</f>
        <v>73.75</v>
      </c>
      <c r="C25" s="4">
        <f t="shared" ref="C25:AB25" si="5">C21*$B$5+SUM(C23:C24)</f>
        <v>73.75</v>
      </c>
      <c r="D25" s="4">
        <f t="shared" si="5"/>
        <v>73.75</v>
      </c>
      <c r="E25" s="4">
        <f t="shared" si="5"/>
        <v>73.75</v>
      </c>
      <c r="F25" s="4">
        <f t="shared" si="5"/>
        <v>73.75</v>
      </c>
      <c r="G25" s="4">
        <f t="shared" si="5"/>
        <v>73.75</v>
      </c>
      <c r="H25" s="4">
        <f t="shared" si="5"/>
        <v>80.625</v>
      </c>
      <c r="I25" s="4">
        <f t="shared" si="5"/>
        <v>87.5</v>
      </c>
      <c r="J25" s="4">
        <f t="shared" si="5"/>
        <v>204.875</v>
      </c>
      <c r="K25" s="4">
        <f t="shared" si="5"/>
        <v>101.25</v>
      </c>
      <c r="L25" s="4">
        <f t="shared" si="5"/>
        <v>211.75</v>
      </c>
      <c r="M25" s="4">
        <f t="shared" si="5"/>
        <v>211.75</v>
      </c>
      <c r="N25" s="4">
        <f t="shared" si="5"/>
        <v>101.25</v>
      </c>
      <c r="O25" s="4">
        <f t="shared" si="5"/>
        <v>101.25</v>
      </c>
      <c r="P25" s="4">
        <f t="shared" si="5"/>
        <v>211.75</v>
      </c>
      <c r="Q25" s="4">
        <f t="shared" si="5"/>
        <v>60.000000000000007</v>
      </c>
      <c r="R25" s="4">
        <f t="shared" si="5"/>
        <v>225.5</v>
      </c>
      <c r="S25" s="4">
        <f t="shared" si="5"/>
        <v>225.5</v>
      </c>
      <c r="T25" s="4">
        <f t="shared" si="5"/>
        <v>225.5</v>
      </c>
      <c r="U25" s="4">
        <f t="shared" si="5"/>
        <v>225.5</v>
      </c>
      <c r="V25" s="4">
        <f t="shared" si="5"/>
        <v>225.5</v>
      </c>
      <c r="W25" s="4">
        <f t="shared" si="5"/>
        <v>211.75</v>
      </c>
      <c r="X25" s="4">
        <f t="shared" si="5"/>
        <v>60.000000000000007</v>
      </c>
      <c r="Y25" s="4">
        <f t="shared" si="5"/>
        <v>87.5</v>
      </c>
      <c r="Z25" s="4">
        <f t="shared" si="5"/>
        <v>87.5</v>
      </c>
      <c r="AA25" s="4">
        <f t="shared" si="5"/>
        <v>87.5</v>
      </c>
      <c r="AB25" s="6">
        <f t="shared" si="5"/>
        <v>87.5</v>
      </c>
      <c r="AC25" s="4">
        <f>AC21*$B$5+SUM(AC23:AC24)</f>
        <v>60.000000000000007</v>
      </c>
    </row>
    <row r="26" spans="1:32" ht="12" x14ac:dyDescent="0.2">
      <c r="A26" s="3" t="s">
        <v>115</v>
      </c>
      <c r="B26" s="5">
        <f t="shared" ref="B26:AB26" si="6">-IF(ISBLANK(B100),0,MIN(B$22*$H$10,B$22-$B$7*$H$9))</f>
        <v>-13.75</v>
      </c>
      <c r="C26" s="5">
        <f t="shared" si="6"/>
        <v>-13.75</v>
      </c>
      <c r="D26" s="5">
        <f t="shared" si="6"/>
        <v>-13.75</v>
      </c>
      <c r="E26" s="5">
        <f t="shared" si="6"/>
        <v>0</v>
      </c>
      <c r="F26" s="5">
        <f t="shared" si="6"/>
        <v>-13.75</v>
      </c>
      <c r="G26" s="5">
        <f t="shared" si="6"/>
        <v>-13.75</v>
      </c>
      <c r="H26" s="5">
        <f t="shared" si="6"/>
        <v>-20.625</v>
      </c>
      <c r="I26" s="5">
        <f t="shared" si="6"/>
        <v>-26.647500000000001</v>
      </c>
      <c r="J26" s="5">
        <f t="shared" si="6"/>
        <v>0</v>
      </c>
      <c r="K26" s="5">
        <f t="shared" si="6"/>
        <v>0</v>
      </c>
      <c r="L26" s="5">
        <f t="shared" si="6"/>
        <v>0</v>
      </c>
      <c r="M26" s="5">
        <f t="shared" si="6"/>
        <v>0</v>
      </c>
      <c r="N26" s="5">
        <f t="shared" si="6"/>
        <v>-31.088750000000001</v>
      </c>
      <c r="O26" s="5">
        <f t="shared" si="6"/>
        <v>-31.088750000000001</v>
      </c>
      <c r="P26" s="5">
        <f t="shared" si="6"/>
        <v>0</v>
      </c>
      <c r="Q26" s="5">
        <f t="shared" si="6"/>
        <v>0</v>
      </c>
      <c r="R26" s="5">
        <f t="shared" si="6"/>
        <v>0</v>
      </c>
      <c r="S26" s="5">
        <f t="shared" si="6"/>
        <v>0</v>
      </c>
      <c r="T26" s="5">
        <f t="shared" si="6"/>
        <v>0</v>
      </c>
      <c r="U26" s="5">
        <f t="shared" si="6"/>
        <v>0</v>
      </c>
      <c r="V26" s="5">
        <f t="shared" si="6"/>
        <v>0</v>
      </c>
      <c r="W26" s="5">
        <f t="shared" si="6"/>
        <v>0</v>
      </c>
      <c r="X26" s="5">
        <f t="shared" si="6"/>
        <v>0</v>
      </c>
      <c r="Y26" s="5">
        <f t="shared" si="6"/>
        <v>-26.647500000000001</v>
      </c>
      <c r="Z26" s="5">
        <f t="shared" si="6"/>
        <v>-26.647500000000001</v>
      </c>
      <c r="AA26" s="5">
        <f t="shared" si="6"/>
        <v>-26.647500000000001</v>
      </c>
      <c r="AB26" s="5">
        <f t="shared" si="6"/>
        <v>-26.647500000000001</v>
      </c>
      <c r="AC26" s="5">
        <f>-IF(ISBLANK(#REF!),0,MIN(AC$22*$H$10,AC$22-$B$7*$H$9))</f>
        <v>-7.1054273576010019E-15</v>
      </c>
    </row>
    <row r="27" spans="1:32" ht="12" x14ac:dyDescent="0.2">
      <c r="A27" s="2" t="s">
        <v>116</v>
      </c>
      <c r="B27" s="5">
        <f t="shared" ref="B27:AC27" si="7">SUM(B25:B26)</f>
        <v>60</v>
      </c>
      <c r="C27" s="5">
        <f t="shared" si="7"/>
        <v>60</v>
      </c>
      <c r="D27" s="5">
        <f t="shared" si="7"/>
        <v>60</v>
      </c>
      <c r="E27" s="5">
        <f t="shared" si="7"/>
        <v>73.75</v>
      </c>
      <c r="F27" s="5">
        <f t="shared" si="7"/>
        <v>60</v>
      </c>
      <c r="G27" s="5">
        <f t="shared" si="7"/>
        <v>60</v>
      </c>
      <c r="H27" s="5">
        <f t="shared" si="7"/>
        <v>60</v>
      </c>
      <c r="I27" s="5">
        <f t="shared" si="7"/>
        <v>60.852499999999999</v>
      </c>
      <c r="J27" s="5">
        <f t="shared" si="7"/>
        <v>204.875</v>
      </c>
      <c r="K27" s="5">
        <f t="shared" si="7"/>
        <v>101.25</v>
      </c>
      <c r="L27" s="5">
        <f t="shared" si="7"/>
        <v>211.75</v>
      </c>
      <c r="M27" s="5">
        <f t="shared" si="7"/>
        <v>211.75</v>
      </c>
      <c r="N27" s="5">
        <f t="shared" si="7"/>
        <v>70.161249999999995</v>
      </c>
      <c r="O27" s="5">
        <f t="shared" si="7"/>
        <v>70.161249999999995</v>
      </c>
      <c r="P27" s="5">
        <f t="shared" si="7"/>
        <v>211.75</v>
      </c>
      <c r="Q27" s="5">
        <f t="shared" si="7"/>
        <v>60.000000000000007</v>
      </c>
      <c r="R27" s="5">
        <f t="shared" si="7"/>
        <v>225.5</v>
      </c>
      <c r="S27" s="5">
        <f t="shared" si="7"/>
        <v>225.5</v>
      </c>
      <c r="T27" s="5">
        <f t="shared" si="7"/>
        <v>225.5</v>
      </c>
      <c r="U27" s="5">
        <f t="shared" si="7"/>
        <v>225.5</v>
      </c>
      <c r="V27" s="5">
        <f t="shared" si="7"/>
        <v>225.5</v>
      </c>
      <c r="W27" s="5">
        <f t="shared" si="7"/>
        <v>211.75</v>
      </c>
      <c r="X27" s="5">
        <f t="shared" si="7"/>
        <v>60.000000000000007</v>
      </c>
      <c r="Y27" s="5">
        <f t="shared" si="7"/>
        <v>60.852499999999999</v>
      </c>
      <c r="Z27" s="5">
        <f t="shared" si="7"/>
        <v>60.852499999999999</v>
      </c>
      <c r="AA27" s="5">
        <f t="shared" si="7"/>
        <v>60.852499999999999</v>
      </c>
      <c r="AB27" s="7">
        <f t="shared" si="7"/>
        <v>60.852499999999999</v>
      </c>
      <c r="AC27" s="5">
        <f t="shared" si="7"/>
        <v>60</v>
      </c>
    </row>
    <row r="28" spans="1:32" ht="12" x14ac:dyDescent="0.2">
      <c r="A28" s="3" t="s">
        <v>117</v>
      </c>
      <c r="B28" s="89">
        <f>AVERAGE(AA25:AB25,B25)</f>
        <v>82.916666666666671</v>
      </c>
      <c r="C28" s="89">
        <f>AVERAGE(AB25,B25:C25)</f>
        <v>78.333333333333329</v>
      </c>
      <c r="D28" s="89">
        <f t="shared" ref="D28:AB28" si="8">AVERAGE(B25:D25)</f>
        <v>73.75</v>
      </c>
      <c r="E28" s="89">
        <f t="shared" si="8"/>
        <v>73.75</v>
      </c>
      <c r="F28" s="89">
        <f t="shared" si="8"/>
        <v>73.75</v>
      </c>
      <c r="G28" s="89">
        <f t="shared" si="8"/>
        <v>73.75</v>
      </c>
      <c r="H28" s="89">
        <f t="shared" si="8"/>
        <v>76.041666666666671</v>
      </c>
      <c r="I28" s="89">
        <f t="shared" si="8"/>
        <v>80.625</v>
      </c>
      <c r="J28" s="89">
        <f t="shared" si="8"/>
        <v>124.33333333333333</v>
      </c>
      <c r="K28" s="89">
        <f t="shared" si="8"/>
        <v>131.20833333333334</v>
      </c>
      <c r="L28" s="89">
        <f t="shared" si="8"/>
        <v>172.625</v>
      </c>
      <c r="M28" s="89">
        <f t="shared" si="8"/>
        <v>174.91666666666666</v>
      </c>
      <c r="N28" s="89">
        <f t="shared" si="8"/>
        <v>174.91666666666666</v>
      </c>
      <c r="O28" s="89">
        <f t="shared" si="8"/>
        <v>138.08333333333334</v>
      </c>
      <c r="P28" s="89">
        <f t="shared" si="8"/>
        <v>138.08333333333334</v>
      </c>
      <c r="Q28" s="89">
        <f t="shared" si="8"/>
        <v>124.33333333333333</v>
      </c>
      <c r="R28" s="89">
        <f t="shared" si="8"/>
        <v>165.75</v>
      </c>
      <c r="S28" s="89">
        <f t="shared" si="8"/>
        <v>170.33333333333334</v>
      </c>
      <c r="T28" s="89">
        <f t="shared" si="8"/>
        <v>225.5</v>
      </c>
      <c r="U28" s="89">
        <f t="shared" si="8"/>
        <v>225.5</v>
      </c>
      <c r="V28" s="89">
        <f t="shared" si="8"/>
        <v>225.5</v>
      </c>
      <c r="W28" s="89">
        <f t="shared" si="8"/>
        <v>220.91666666666666</v>
      </c>
      <c r="X28" s="89">
        <f t="shared" si="8"/>
        <v>165.75</v>
      </c>
      <c r="Y28" s="89">
        <f t="shared" si="8"/>
        <v>119.75</v>
      </c>
      <c r="Z28" s="89">
        <f t="shared" si="8"/>
        <v>78.333333333333329</v>
      </c>
      <c r="AA28" s="89">
        <f t="shared" si="8"/>
        <v>87.5</v>
      </c>
      <c r="AB28" s="90">
        <f t="shared" si="8"/>
        <v>87.5</v>
      </c>
      <c r="AC28" s="5">
        <f>AC27</f>
        <v>60</v>
      </c>
    </row>
    <row r="29" spans="1:32" ht="12" x14ac:dyDescent="0.2">
      <c r="A29" s="189" t="s">
        <v>118</v>
      </c>
      <c r="B29" s="6"/>
      <c r="C29" s="190"/>
      <c r="D29" s="190"/>
      <c r="E29" s="190"/>
      <c r="F29" s="190"/>
      <c r="G29" s="190"/>
      <c r="H29" s="190"/>
      <c r="I29" s="190"/>
      <c r="J29" s="190"/>
      <c r="K29" s="190"/>
      <c r="L29" s="190"/>
      <c r="M29" s="190"/>
      <c r="N29" s="190"/>
      <c r="O29" s="190"/>
      <c r="P29" s="190"/>
      <c r="Q29" s="190"/>
      <c r="R29" s="190"/>
      <c r="S29" s="190"/>
      <c r="T29" s="190"/>
      <c r="U29" s="190"/>
      <c r="V29" s="190"/>
      <c r="W29" s="190"/>
      <c r="X29" s="190"/>
      <c r="Y29" s="190"/>
      <c r="Z29" s="190"/>
      <c r="AA29" s="190"/>
      <c r="AB29" s="190"/>
      <c r="AC29" s="4"/>
    </row>
    <row r="30" spans="1:32" ht="12" x14ac:dyDescent="0.2">
      <c r="A30" s="3" t="s">
        <v>119</v>
      </c>
      <c r="B30" s="5">
        <f t="shared" ref="B30:AC30" si="9">IF(ISBLANK(B100),0,$B$11)</f>
        <v>15</v>
      </c>
      <c r="C30" s="5">
        <f t="shared" si="9"/>
        <v>15</v>
      </c>
      <c r="D30" s="5">
        <f t="shared" si="9"/>
        <v>15</v>
      </c>
      <c r="E30" s="5">
        <f t="shared" si="9"/>
        <v>0</v>
      </c>
      <c r="F30" s="5">
        <f t="shared" si="9"/>
        <v>15</v>
      </c>
      <c r="G30" s="5">
        <f t="shared" si="9"/>
        <v>15</v>
      </c>
      <c r="H30" s="5">
        <f t="shared" si="9"/>
        <v>15</v>
      </c>
      <c r="I30" s="5">
        <f t="shared" si="9"/>
        <v>15</v>
      </c>
      <c r="J30" s="5">
        <f t="shared" si="9"/>
        <v>0</v>
      </c>
      <c r="K30" s="5">
        <f t="shared" si="9"/>
        <v>0</v>
      </c>
      <c r="L30" s="5">
        <f t="shared" si="9"/>
        <v>0</v>
      </c>
      <c r="M30" s="5">
        <f t="shared" si="9"/>
        <v>0</v>
      </c>
      <c r="N30" s="5">
        <f t="shared" si="9"/>
        <v>15</v>
      </c>
      <c r="O30" s="5">
        <f t="shared" si="9"/>
        <v>15</v>
      </c>
      <c r="P30" s="5">
        <f t="shared" si="9"/>
        <v>0</v>
      </c>
      <c r="Q30" s="5">
        <f t="shared" si="9"/>
        <v>0</v>
      </c>
      <c r="R30" s="5">
        <f t="shared" si="9"/>
        <v>0</v>
      </c>
      <c r="S30" s="5">
        <f t="shared" si="9"/>
        <v>0</v>
      </c>
      <c r="T30" s="5">
        <f t="shared" si="9"/>
        <v>0</v>
      </c>
      <c r="U30" s="5">
        <f t="shared" si="9"/>
        <v>0</v>
      </c>
      <c r="V30" s="5">
        <f t="shared" si="9"/>
        <v>0</v>
      </c>
      <c r="W30" s="5">
        <f t="shared" si="9"/>
        <v>0</v>
      </c>
      <c r="X30" s="5">
        <f t="shared" si="9"/>
        <v>0</v>
      </c>
      <c r="Y30" s="5">
        <f t="shared" si="9"/>
        <v>15</v>
      </c>
      <c r="Z30" s="5">
        <f t="shared" si="9"/>
        <v>15</v>
      </c>
      <c r="AA30" s="5">
        <f t="shared" si="9"/>
        <v>15</v>
      </c>
      <c r="AB30" s="5">
        <f t="shared" si="9"/>
        <v>15</v>
      </c>
      <c r="AC30" s="5">
        <f t="shared" si="9"/>
        <v>15</v>
      </c>
    </row>
    <row r="31" spans="1:32" s="94" customFormat="1" ht="12.75" x14ac:dyDescent="0.2">
      <c r="A31" s="91" t="s">
        <v>120</v>
      </c>
      <c r="B31" s="88"/>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28"/>
      <c r="AD31" s="93"/>
      <c r="AE31" s="93"/>
      <c r="AF31" s="93"/>
    </row>
    <row r="32" spans="1:32" s="94" customFormat="1" ht="12" x14ac:dyDescent="0.2">
      <c r="A32" s="287" t="s">
        <v>121</v>
      </c>
      <c r="B32" s="27">
        <v>0.7</v>
      </c>
      <c r="C32" s="27">
        <v>0.7</v>
      </c>
      <c r="D32" s="27">
        <v>0.7</v>
      </c>
      <c r="E32" s="27">
        <v>0.7</v>
      </c>
      <c r="F32" s="27">
        <v>0.7</v>
      </c>
      <c r="G32" s="27">
        <v>0.7</v>
      </c>
      <c r="H32" s="27">
        <v>0.8</v>
      </c>
      <c r="I32" s="27">
        <v>0.8</v>
      </c>
      <c r="J32" s="27">
        <v>0.8</v>
      </c>
      <c r="K32" s="27">
        <v>0.9</v>
      </c>
      <c r="L32" s="27">
        <v>0.9</v>
      </c>
      <c r="M32" s="27">
        <v>0.9</v>
      </c>
      <c r="N32" s="27">
        <v>1</v>
      </c>
      <c r="O32" s="27">
        <v>1</v>
      </c>
      <c r="P32" s="27">
        <v>1</v>
      </c>
      <c r="Q32" s="27">
        <v>1</v>
      </c>
      <c r="R32" s="27">
        <v>1</v>
      </c>
      <c r="S32" s="27">
        <v>1</v>
      </c>
      <c r="T32" s="27">
        <v>1</v>
      </c>
      <c r="U32" s="27">
        <v>1</v>
      </c>
      <c r="V32" s="27">
        <v>1</v>
      </c>
      <c r="W32" s="27">
        <v>1</v>
      </c>
      <c r="X32" s="27">
        <v>1</v>
      </c>
      <c r="Y32" s="27">
        <v>1</v>
      </c>
      <c r="Z32" s="27">
        <v>1</v>
      </c>
      <c r="AA32" s="27">
        <v>1</v>
      </c>
      <c r="AB32" s="186">
        <v>1</v>
      </c>
      <c r="AC32" s="27">
        <v>0.7</v>
      </c>
      <c r="AD32" s="93"/>
      <c r="AE32" s="93"/>
      <c r="AF32" s="93"/>
    </row>
    <row r="33" spans="1:33" s="94" customFormat="1" ht="12" x14ac:dyDescent="0.2">
      <c r="A33" s="287" t="s">
        <v>122</v>
      </c>
      <c r="B33" s="96">
        <f>0.8*B32</f>
        <v>0.55999999999999994</v>
      </c>
      <c r="C33" s="96">
        <f t="shared" ref="C33:AC33" si="10">0.8*C32</f>
        <v>0.55999999999999994</v>
      </c>
      <c r="D33" s="96">
        <f t="shared" si="10"/>
        <v>0.55999999999999994</v>
      </c>
      <c r="E33" s="96">
        <f t="shared" si="10"/>
        <v>0.55999999999999994</v>
      </c>
      <c r="F33" s="96">
        <f t="shared" si="10"/>
        <v>0.55999999999999994</v>
      </c>
      <c r="G33" s="96">
        <f t="shared" si="10"/>
        <v>0.55999999999999994</v>
      </c>
      <c r="H33" s="96">
        <f t="shared" si="10"/>
        <v>0.64000000000000012</v>
      </c>
      <c r="I33" s="96">
        <f t="shared" si="10"/>
        <v>0.64000000000000012</v>
      </c>
      <c r="J33" s="96">
        <f t="shared" si="10"/>
        <v>0.64000000000000012</v>
      </c>
      <c r="K33" s="96">
        <f t="shared" si="10"/>
        <v>0.72000000000000008</v>
      </c>
      <c r="L33" s="96">
        <f t="shared" si="10"/>
        <v>0.72000000000000008</v>
      </c>
      <c r="M33" s="96">
        <f t="shared" si="10"/>
        <v>0.72000000000000008</v>
      </c>
      <c r="N33" s="96">
        <f t="shared" si="10"/>
        <v>0.8</v>
      </c>
      <c r="O33" s="96">
        <f t="shared" si="10"/>
        <v>0.8</v>
      </c>
      <c r="P33" s="96">
        <f t="shared" si="10"/>
        <v>0.8</v>
      </c>
      <c r="Q33" s="96">
        <f t="shared" si="10"/>
        <v>0.8</v>
      </c>
      <c r="R33" s="96">
        <f t="shared" si="10"/>
        <v>0.8</v>
      </c>
      <c r="S33" s="96">
        <f t="shared" si="10"/>
        <v>0.8</v>
      </c>
      <c r="T33" s="96">
        <f t="shared" si="10"/>
        <v>0.8</v>
      </c>
      <c r="U33" s="96">
        <f t="shared" si="10"/>
        <v>0.8</v>
      </c>
      <c r="V33" s="96">
        <f t="shared" si="10"/>
        <v>0.8</v>
      </c>
      <c r="W33" s="96">
        <f t="shared" si="10"/>
        <v>0.8</v>
      </c>
      <c r="X33" s="96">
        <f t="shared" si="10"/>
        <v>0.8</v>
      </c>
      <c r="Y33" s="96">
        <f t="shared" si="10"/>
        <v>0.8</v>
      </c>
      <c r="Z33" s="96">
        <f t="shared" si="10"/>
        <v>0.8</v>
      </c>
      <c r="AA33" s="96">
        <f t="shared" si="10"/>
        <v>0.8</v>
      </c>
      <c r="AB33" s="96">
        <f t="shared" si="10"/>
        <v>0.8</v>
      </c>
      <c r="AC33" s="96">
        <f t="shared" si="10"/>
        <v>0.55999999999999994</v>
      </c>
      <c r="AD33" s="93"/>
      <c r="AE33" s="93"/>
      <c r="AF33" s="93"/>
    </row>
    <row r="34" spans="1:33" s="94" customFormat="1" ht="12" x14ac:dyDescent="0.2">
      <c r="A34" s="287" t="s">
        <v>123</v>
      </c>
      <c r="B34" s="31">
        <f>((B36*$B$122)/$B$2)</f>
        <v>0.4724023136401525</v>
      </c>
      <c r="C34" s="31">
        <f t="shared" ref="C34:AC34" si="11">((C36*$B$122)/$B$2)</f>
        <v>0.4724023136401525</v>
      </c>
      <c r="D34" s="31">
        <f t="shared" si="11"/>
        <v>0.4724023136401525</v>
      </c>
      <c r="E34" s="31">
        <f t="shared" si="11"/>
        <v>0.4724023136401525</v>
      </c>
      <c r="F34" s="31">
        <f t="shared" si="11"/>
        <v>0.4724023136401525</v>
      </c>
      <c r="G34" s="31">
        <f t="shared" si="11"/>
        <v>0.4724023136401525</v>
      </c>
      <c r="H34" s="31">
        <f t="shared" si="11"/>
        <v>0.53988835844588856</v>
      </c>
      <c r="I34" s="31">
        <f t="shared" si="11"/>
        <v>0.53988835844588856</v>
      </c>
      <c r="J34" s="31">
        <f t="shared" si="11"/>
        <v>0.53988835844588856</v>
      </c>
      <c r="K34" s="31">
        <f t="shared" si="11"/>
        <v>0.60737440325162462</v>
      </c>
      <c r="L34" s="31">
        <f t="shared" si="11"/>
        <v>0.60737440325162462</v>
      </c>
      <c r="M34" s="31">
        <f t="shared" si="11"/>
        <v>0.60737440325162462</v>
      </c>
      <c r="N34" s="31">
        <f t="shared" si="11"/>
        <v>0.63268167005377562</v>
      </c>
      <c r="O34" s="31">
        <f t="shared" si="11"/>
        <v>0.63268167005377562</v>
      </c>
      <c r="P34" s="31">
        <f t="shared" si="11"/>
        <v>0.63268167005377562</v>
      </c>
      <c r="Q34" s="31">
        <f t="shared" si="11"/>
        <v>0.63268167005377562</v>
      </c>
      <c r="R34" s="31">
        <f t="shared" si="11"/>
        <v>0.63268167005377562</v>
      </c>
      <c r="S34" s="31">
        <f t="shared" si="11"/>
        <v>0.63268167005377562</v>
      </c>
      <c r="T34" s="31">
        <f t="shared" si="11"/>
        <v>0.63268167005377562</v>
      </c>
      <c r="U34" s="31">
        <f t="shared" si="11"/>
        <v>0.63268167005377562</v>
      </c>
      <c r="V34" s="31">
        <f t="shared" si="11"/>
        <v>0.63268167005377562</v>
      </c>
      <c r="W34" s="31">
        <f t="shared" si="11"/>
        <v>0.63268167005377562</v>
      </c>
      <c r="X34" s="31">
        <f t="shared" si="11"/>
        <v>0.63268167005377562</v>
      </c>
      <c r="Y34" s="31">
        <f t="shared" si="11"/>
        <v>0.63268167005377562</v>
      </c>
      <c r="Z34" s="31">
        <f t="shared" si="11"/>
        <v>0.63268167005377562</v>
      </c>
      <c r="AA34" s="31">
        <f t="shared" si="11"/>
        <v>0.63268167005377562</v>
      </c>
      <c r="AB34" s="31">
        <f t="shared" si="11"/>
        <v>0.63268167005377562</v>
      </c>
      <c r="AC34" s="31">
        <f t="shared" si="11"/>
        <v>0.4724023136401525</v>
      </c>
      <c r="AD34" s="93"/>
      <c r="AE34" s="93"/>
      <c r="AF34" s="93"/>
    </row>
    <row r="35" spans="1:33" ht="12" x14ac:dyDescent="0.2">
      <c r="A35" s="2" t="s">
        <v>124</v>
      </c>
      <c r="B35" s="98">
        <f t="shared" ref="B35:AC35" si="12">ROUND($B$2*B$32,2)</f>
        <v>2.8</v>
      </c>
      <c r="C35" s="98">
        <f t="shared" si="12"/>
        <v>2.8</v>
      </c>
      <c r="D35" s="98">
        <f t="shared" si="12"/>
        <v>2.8</v>
      </c>
      <c r="E35" s="98">
        <f t="shared" si="12"/>
        <v>2.8</v>
      </c>
      <c r="F35" s="98">
        <f t="shared" si="12"/>
        <v>2.8</v>
      </c>
      <c r="G35" s="98">
        <f t="shared" si="12"/>
        <v>2.8</v>
      </c>
      <c r="H35" s="98">
        <f t="shared" si="12"/>
        <v>3.2</v>
      </c>
      <c r="I35" s="98">
        <f t="shared" si="12"/>
        <v>3.2</v>
      </c>
      <c r="J35" s="98">
        <f t="shared" si="12"/>
        <v>3.2</v>
      </c>
      <c r="K35" s="98">
        <f t="shared" si="12"/>
        <v>3.6</v>
      </c>
      <c r="L35" s="98">
        <f t="shared" si="12"/>
        <v>3.6</v>
      </c>
      <c r="M35" s="98">
        <f t="shared" si="12"/>
        <v>3.6</v>
      </c>
      <c r="N35" s="98">
        <f t="shared" si="12"/>
        <v>4</v>
      </c>
      <c r="O35" s="98">
        <f t="shared" si="12"/>
        <v>4</v>
      </c>
      <c r="P35" s="98">
        <f t="shared" si="12"/>
        <v>4</v>
      </c>
      <c r="Q35" s="98">
        <f t="shared" si="12"/>
        <v>4</v>
      </c>
      <c r="R35" s="98">
        <f t="shared" si="12"/>
        <v>4</v>
      </c>
      <c r="S35" s="98">
        <f t="shared" si="12"/>
        <v>4</v>
      </c>
      <c r="T35" s="98">
        <f t="shared" si="12"/>
        <v>4</v>
      </c>
      <c r="U35" s="98">
        <f t="shared" si="12"/>
        <v>4</v>
      </c>
      <c r="V35" s="98">
        <f t="shared" si="12"/>
        <v>4</v>
      </c>
      <c r="W35" s="98">
        <f t="shared" si="12"/>
        <v>4</v>
      </c>
      <c r="X35" s="98">
        <f t="shared" si="12"/>
        <v>4</v>
      </c>
      <c r="Y35" s="98">
        <f t="shared" si="12"/>
        <v>4</v>
      </c>
      <c r="Z35" s="98">
        <f t="shared" si="12"/>
        <v>4</v>
      </c>
      <c r="AA35" s="98">
        <f t="shared" si="12"/>
        <v>4</v>
      </c>
      <c r="AB35" s="99">
        <f t="shared" si="12"/>
        <v>4</v>
      </c>
      <c r="AC35" s="26">
        <f t="shared" si="12"/>
        <v>2.8</v>
      </c>
    </row>
    <row r="36" spans="1:33" s="68" customFormat="1" ht="12" x14ac:dyDescent="0.2">
      <c r="A36" s="2" t="s">
        <v>125</v>
      </c>
      <c r="B36" s="221">
        <f t="shared" ref="B36:AB36" si="13">ROUND(MIN(3,$B$2*B$33),2)</f>
        <v>2.2400000000000002</v>
      </c>
      <c r="C36" s="221">
        <f t="shared" si="13"/>
        <v>2.2400000000000002</v>
      </c>
      <c r="D36" s="221">
        <f t="shared" si="13"/>
        <v>2.2400000000000002</v>
      </c>
      <c r="E36" s="221">
        <f t="shared" si="13"/>
        <v>2.2400000000000002</v>
      </c>
      <c r="F36" s="221">
        <f t="shared" si="13"/>
        <v>2.2400000000000002</v>
      </c>
      <c r="G36" s="221">
        <f t="shared" si="13"/>
        <v>2.2400000000000002</v>
      </c>
      <c r="H36" s="221">
        <f t="shared" si="13"/>
        <v>2.56</v>
      </c>
      <c r="I36" s="221">
        <f t="shared" si="13"/>
        <v>2.56</v>
      </c>
      <c r="J36" s="221">
        <f t="shared" si="13"/>
        <v>2.56</v>
      </c>
      <c r="K36" s="221">
        <f t="shared" si="13"/>
        <v>2.88</v>
      </c>
      <c r="L36" s="221">
        <f t="shared" si="13"/>
        <v>2.88</v>
      </c>
      <c r="M36" s="221">
        <f t="shared" si="13"/>
        <v>2.88</v>
      </c>
      <c r="N36" s="221">
        <f t="shared" si="13"/>
        <v>3</v>
      </c>
      <c r="O36" s="221">
        <f t="shared" si="13"/>
        <v>3</v>
      </c>
      <c r="P36" s="221">
        <f t="shared" si="13"/>
        <v>3</v>
      </c>
      <c r="Q36" s="221">
        <f t="shared" si="13"/>
        <v>3</v>
      </c>
      <c r="R36" s="221">
        <f t="shared" si="13"/>
        <v>3</v>
      </c>
      <c r="S36" s="221">
        <f t="shared" si="13"/>
        <v>3</v>
      </c>
      <c r="T36" s="221">
        <f t="shared" si="13"/>
        <v>3</v>
      </c>
      <c r="U36" s="221">
        <f t="shared" si="13"/>
        <v>3</v>
      </c>
      <c r="V36" s="221">
        <f t="shared" si="13"/>
        <v>3</v>
      </c>
      <c r="W36" s="221">
        <f t="shared" si="13"/>
        <v>3</v>
      </c>
      <c r="X36" s="221">
        <f t="shared" si="13"/>
        <v>3</v>
      </c>
      <c r="Y36" s="221">
        <f t="shared" si="13"/>
        <v>3</v>
      </c>
      <c r="Z36" s="221">
        <f t="shared" si="13"/>
        <v>3</v>
      </c>
      <c r="AA36" s="221">
        <f t="shared" si="13"/>
        <v>3</v>
      </c>
      <c r="AB36" s="222">
        <f t="shared" si="13"/>
        <v>3</v>
      </c>
      <c r="AC36" s="227">
        <f>ROUND($B$2*AC$33,2)</f>
        <v>2.2400000000000002</v>
      </c>
    </row>
    <row r="37" spans="1:33" s="68" customFormat="1" ht="12" x14ac:dyDescent="0.2">
      <c r="A37" s="389" t="s">
        <v>126</v>
      </c>
      <c r="B37" s="399">
        <f>B34*$B$2</f>
        <v>1.88960925456061</v>
      </c>
      <c r="C37" s="399">
        <f t="shared" ref="C37:AC37" si="14">C34*$B$2</f>
        <v>1.88960925456061</v>
      </c>
      <c r="D37" s="399">
        <f t="shared" si="14"/>
        <v>1.88960925456061</v>
      </c>
      <c r="E37" s="399">
        <f t="shared" si="14"/>
        <v>1.88960925456061</v>
      </c>
      <c r="F37" s="399">
        <f t="shared" si="14"/>
        <v>1.88960925456061</v>
      </c>
      <c r="G37" s="399">
        <f t="shared" si="14"/>
        <v>1.88960925456061</v>
      </c>
      <c r="H37" s="399">
        <f t="shared" si="14"/>
        <v>2.1595534337835542</v>
      </c>
      <c r="I37" s="399">
        <f t="shared" si="14"/>
        <v>2.1595534337835542</v>
      </c>
      <c r="J37" s="399">
        <f t="shared" si="14"/>
        <v>2.1595534337835542</v>
      </c>
      <c r="K37" s="399">
        <f t="shared" si="14"/>
        <v>2.4294976130064985</v>
      </c>
      <c r="L37" s="399">
        <f t="shared" si="14"/>
        <v>2.4294976130064985</v>
      </c>
      <c r="M37" s="399">
        <f t="shared" si="14"/>
        <v>2.4294976130064985</v>
      </c>
      <c r="N37" s="399">
        <f t="shared" si="14"/>
        <v>2.5307266802151025</v>
      </c>
      <c r="O37" s="399">
        <f t="shared" si="14"/>
        <v>2.5307266802151025</v>
      </c>
      <c r="P37" s="399">
        <f t="shared" si="14"/>
        <v>2.5307266802151025</v>
      </c>
      <c r="Q37" s="399">
        <f t="shared" si="14"/>
        <v>2.5307266802151025</v>
      </c>
      <c r="R37" s="399">
        <f t="shared" si="14"/>
        <v>2.5307266802151025</v>
      </c>
      <c r="S37" s="399">
        <f t="shared" si="14"/>
        <v>2.5307266802151025</v>
      </c>
      <c r="T37" s="399">
        <f t="shared" si="14"/>
        <v>2.5307266802151025</v>
      </c>
      <c r="U37" s="399">
        <f t="shared" si="14"/>
        <v>2.5307266802151025</v>
      </c>
      <c r="V37" s="399">
        <f t="shared" si="14"/>
        <v>2.5307266802151025</v>
      </c>
      <c r="W37" s="399">
        <f t="shared" si="14"/>
        <v>2.5307266802151025</v>
      </c>
      <c r="X37" s="399">
        <f t="shared" si="14"/>
        <v>2.5307266802151025</v>
      </c>
      <c r="Y37" s="399">
        <f t="shared" si="14"/>
        <v>2.5307266802151025</v>
      </c>
      <c r="Z37" s="399">
        <f t="shared" si="14"/>
        <v>2.5307266802151025</v>
      </c>
      <c r="AA37" s="399">
        <f t="shared" si="14"/>
        <v>2.5307266802151025</v>
      </c>
      <c r="AB37" s="399">
        <f t="shared" si="14"/>
        <v>2.5307266802151025</v>
      </c>
      <c r="AC37" s="399">
        <f t="shared" si="14"/>
        <v>1.88960925456061</v>
      </c>
    </row>
    <row r="38" spans="1:33" s="68" customFormat="1" ht="12" x14ac:dyDescent="0.2">
      <c r="A38" s="226" t="s">
        <v>127</v>
      </c>
      <c r="B38" s="99"/>
      <c r="C38" s="228"/>
      <c r="D38" s="228"/>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30"/>
      <c r="AG38" s="117"/>
    </row>
    <row r="39" spans="1:33" s="69" customFormat="1" ht="12" x14ac:dyDescent="0.2">
      <c r="A39" s="100" t="s">
        <v>212</v>
      </c>
      <c r="B39" s="400">
        <f>B$36*$B123</f>
        <v>0.79977786911624604</v>
      </c>
      <c r="C39" s="400">
        <f t="shared" ref="C39:AC39" si="15">C$36*$B123</f>
        <v>0.79977786911624604</v>
      </c>
      <c r="D39" s="400">
        <f t="shared" si="15"/>
        <v>0.79977786911624604</v>
      </c>
      <c r="E39" s="400">
        <f t="shared" si="15"/>
        <v>0.79977786911624604</v>
      </c>
      <c r="F39" s="400">
        <f t="shared" si="15"/>
        <v>0.79977786911624604</v>
      </c>
      <c r="G39" s="400">
        <f t="shared" si="15"/>
        <v>0.79977786911624604</v>
      </c>
      <c r="H39" s="400">
        <f t="shared" si="15"/>
        <v>0.91403185041856694</v>
      </c>
      <c r="I39" s="400">
        <f t="shared" si="15"/>
        <v>0.91403185041856694</v>
      </c>
      <c r="J39" s="400">
        <f t="shared" si="15"/>
        <v>0.91403185041856694</v>
      </c>
      <c r="K39" s="400">
        <f t="shared" si="15"/>
        <v>1.0282858317208876</v>
      </c>
      <c r="L39" s="400">
        <f t="shared" si="15"/>
        <v>1.0282858317208876</v>
      </c>
      <c r="M39" s="400">
        <f t="shared" si="15"/>
        <v>1.0282858317208876</v>
      </c>
      <c r="N39" s="400">
        <f t="shared" si="15"/>
        <v>1.0711310747092582</v>
      </c>
      <c r="O39" s="400">
        <f t="shared" si="15"/>
        <v>1.0711310747092582</v>
      </c>
      <c r="P39" s="400">
        <f t="shared" si="15"/>
        <v>1.0711310747092582</v>
      </c>
      <c r="Q39" s="400">
        <f t="shared" si="15"/>
        <v>1.0711310747092582</v>
      </c>
      <c r="R39" s="400">
        <f t="shared" si="15"/>
        <v>1.0711310747092582</v>
      </c>
      <c r="S39" s="400">
        <f t="shared" si="15"/>
        <v>1.0711310747092582</v>
      </c>
      <c r="T39" s="400">
        <f t="shared" si="15"/>
        <v>1.0711310747092582</v>
      </c>
      <c r="U39" s="400">
        <f t="shared" si="15"/>
        <v>1.0711310747092582</v>
      </c>
      <c r="V39" s="400">
        <f t="shared" si="15"/>
        <v>1.0711310747092582</v>
      </c>
      <c r="W39" s="400">
        <f t="shared" si="15"/>
        <v>1.0711310747092582</v>
      </c>
      <c r="X39" s="400">
        <f t="shared" si="15"/>
        <v>1.0711310747092582</v>
      </c>
      <c r="Y39" s="400">
        <f t="shared" si="15"/>
        <v>1.0711310747092582</v>
      </c>
      <c r="Z39" s="400">
        <f t="shared" si="15"/>
        <v>1.0711310747092582</v>
      </c>
      <c r="AA39" s="400">
        <f t="shared" si="15"/>
        <v>1.0711310747092582</v>
      </c>
      <c r="AB39" s="400">
        <f t="shared" si="15"/>
        <v>1.0711310747092582</v>
      </c>
      <c r="AC39" s="400">
        <f t="shared" si="15"/>
        <v>0.79977786911624604</v>
      </c>
      <c r="AG39" s="160"/>
    </row>
    <row r="40" spans="1:33" s="69" customFormat="1" ht="12" x14ac:dyDescent="0.2">
      <c r="A40" s="100" t="s">
        <v>213</v>
      </c>
      <c r="B40" s="400">
        <f t="shared" ref="B40:AC40" si="16">B$36*$B124</f>
        <v>1.7192430907618825</v>
      </c>
      <c r="C40" s="400">
        <f t="shared" si="16"/>
        <v>1.7192430907618825</v>
      </c>
      <c r="D40" s="400">
        <f t="shared" si="16"/>
        <v>1.7192430907618825</v>
      </c>
      <c r="E40" s="400">
        <f t="shared" si="16"/>
        <v>1.7192430907618825</v>
      </c>
      <c r="F40" s="400">
        <f t="shared" si="16"/>
        <v>1.7192430907618825</v>
      </c>
      <c r="G40" s="400">
        <f t="shared" si="16"/>
        <v>1.7192430907618825</v>
      </c>
      <c r="H40" s="400">
        <f t="shared" si="16"/>
        <v>1.9648492465850083</v>
      </c>
      <c r="I40" s="400">
        <f t="shared" si="16"/>
        <v>1.9648492465850083</v>
      </c>
      <c r="J40" s="400">
        <f t="shared" si="16"/>
        <v>1.9648492465850083</v>
      </c>
      <c r="K40" s="400">
        <f t="shared" si="16"/>
        <v>2.2104554024081344</v>
      </c>
      <c r="L40" s="400">
        <f t="shared" si="16"/>
        <v>2.2104554024081344</v>
      </c>
      <c r="M40" s="400">
        <f t="shared" si="16"/>
        <v>2.2104554024081344</v>
      </c>
      <c r="N40" s="400">
        <f t="shared" si="16"/>
        <v>2.3025577108418065</v>
      </c>
      <c r="O40" s="400">
        <f t="shared" si="16"/>
        <v>2.3025577108418065</v>
      </c>
      <c r="P40" s="400">
        <f t="shared" si="16"/>
        <v>2.3025577108418065</v>
      </c>
      <c r="Q40" s="400">
        <f t="shared" si="16"/>
        <v>2.3025577108418065</v>
      </c>
      <c r="R40" s="400">
        <f t="shared" si="16"/>
        <v>2.3025577108418065</v>
      </c>
      <c r="S40" s="400">
        <f t="shared" si="16"/>
        <v>2.3025577108418065</v>
      </c>
      <c r="T40" s="400">
        <f t="shared" si="16"/>
        <v>2.3025577108418065</v>
      </c>
      <c r="U40" s="400">
        <f t="shared" si="16"/>
        <v>2.3025577108418065</v>
      </c>
      <c r="V40" s="400">
        <f t="shared" si="16"/>
        <v>2.3025577108418065</v>
      </c>
      <c r="W40" s="400">
        <f t="shared" si="16"/>
        <v>2.3025577108418065</v>
      </c>
      <c r="X40" s="400">
        <f t="shared" si="16"/>
        <v>2.3025577108418065</v>
      </c>
      <c r="Y40" s="400">
        <f t="shared" si="16"/>
        <v>2.3025577108418065</v>
      </c>
      <c r="Z40" s="400">
        <f t="shared" si="16"/>
        <v>2.3025577108418065</v>
      </c>
      <c r="AA40" s="400">
        <f t="shared" si="16"/>
        <v>2.3025577108418065</v>
      </c>
      <c r="AB40" s="400">
        <f t="shared" si="16"/>
        <v>2.3025577108418065</v>
      </c>
      <c r="AC40" s="400">
        <f t="shared" si="16"/>
        <v>1.7192430907618825</v>
      </c>
      <c r="AG40" s="160"/>
    </row>
    <row r="41" spans="1:33" s="69" customFormat="1" ht="12" x14ac:dyDescent="0.2">
      <c r="A41" s="100" t="s">
        <v>214</v>
      </c>
      <c r="B41" s="400">
        <f t="shared" ref="B41:AC41" si="17">B$36*$B125</f>
        <v>1.7095846729199478</v>
      </c>
      <c r="C41" s="400">
        <f t="shared" si="17"/>
        <v>1.7095846729199478</v>
      </c>
      <c r="D41" s="400">
        <f t="shared" si="17"/>
        <v>1.7095846729199478</v>
      </c>
      <c r="E41" s="400">
        <f t="shared" si="17"/>
        <v>1.7095846729199478</v>
      </c>
      <c r="F41" s="400">
        <f t="shared" si="17"/>
        <v>1.7095846729199478</v>
      </c>
      <c r="G41" s="400">
        <f t="shared" si="17"/>
        <v>1.7095846729199478</v>
      </c>
      <c r="H41" s="400">
        <f t="shared" si="17"/>
        <v>1.9538110547656544</v>
      </c>
      <c r="I41" s="400">
        <f t="shared" si="17"/>
        <v>1.9538110547656544</v>
      </c>
      <c r="J41" s="400">
        <f t="shared" si="17"/>
        <v>1.9538110547656544</v>
      </c>
      <c r="K41" s="400">
        <f t="shared" si="17"/>
        <v>2.1980374366113611</v>
      </c>
      <c r="L41" s="400">
        <f t="shared" si="17"/>
        <v>2.1980374366113611</v>
      </c>
      <c r="M41" s="400">
        <f t="shared" si="17"/>
        <v>2.1980374366113611</v>
      </c>
      <c r="N41" s="400">
        <f t="shared" si="17"/>
        <v>2.2896223298035014</v>
      </c>
      <c r="O41" s="400">
        <f t="shared" si="17"/>
        <v>2.2896223298035014</v>
      </c>
      <c r="P41" s="400">
        <f t="shared" si="17"/>
        <v>2.2896223298035014</v>
      </c>
      <c r="Q41" s="400">
        <f t="shared" si="17"/>
        <v>2.2896223298035014</v>
      </c>
      <c r="R41" s="400">
        <f t="shared" si="17"/>
        <v>2.2896223298035014</v>
      </c>
      <c r="S41" s="400">
        <f t="shared" si="17"/>
        <v>2.2896223298035014</v>
      </c>
      <c r="T41" s="400">
        <f t="shared" si="17"/>
        <v>2.2896223298035014</v>
      </c>
      <c r="U41" s="400">
        <f t="shared" si="17"/>
        <v>2.2896223298035014</v>
      </c>
      <c r="V41" s="400">
        <f t="shared" si="17"/>
        <v>2.2896223298035014</v>
      </c>
      <c r="W41" s="400">
        <f t="shared" si="17"/>
        <v>2.2896223298035014</v>
      </c>
      <c r="X41" s="400">
        <f t="shared" si="17"/>
        <v>2.2896223298035014</v>
      </c>
      <c r="Y41" s="400">
        <f t="shared" si="17"/>
        <v>2.2896223298035014</v>
      </c>
      <c r="Z41" s="400">
        <f t="shared" si="17"/>
        <v>2.2896223298035014</v>
      </c>
      <c r="AA41" s="400">
        <f t="shared" si="17"/>
        <v>2.2896223298035014</v>
      </c>
      <c r="AB41" s="400">
        <f t="shared" si="17"/>
        <v>2.2896223298035014</v>
      </c>
      <c r="AC41" s="400">
        <f t="shared" si="17"/>
        <v>1.7095846729199478</v>
      </c>
      <c r="AG41" s="160"/>
    </row>
    <row r="42" spans="1:33" s="69" customFormat="1" ht="12" x14ac:dyDescent="0.2">
      <c r="A42" s="100" t="s">
        <v>215</v>
      </c>
      <c r="B42" s="400">
        <f t="shared" ref="B42:AC44" si="18">B$36*$B126</f>
        <v>0.79977786911624604</v>
      </c>
      <c r="C42" s="400">
        <f t="shared" si="18"/>
        <v>0.79977786911624604</v>
      </c>
      <c r="D42" s="400">
        <f t="shared" si="18"/>
        <v>0.79977786911624604</v>
      </c>
      <c r="E42" s="400">
        <f t="shared" si="18"/>
        <v>0.79977786911624604</v>
      </c>
      <c r="F42" s="400">
        <f t="shared" si="18"/>
        <v>0.79977786911624604</v>
      </c>
      <c r="G42" s="400">
        <f t="shared" si="18"/>
        <v>0.79977786911624604</v>
      </c>
      <c r="H42" s="400">
        <f t="shared" si="18"/>
        <v>0.91403185041856694</v>
      </c>
      <c r="I42" s="400">
        <f t="shared" si="18"/>
        <v>0.91403185041856694</v>
      </c>
      <c r="J42" s="400">
        <f t="shared" si="18"/>
        <v>0.91403185041856694</v>
      </c>
      <c r="K42" s="400">
        <f t="shared" si="18"/>
        <v>1.0282858317208876</v>
      </c>
      <c r="L42" s="400">
        <f t="shared" si="18"/>
        <v>1.0282858317208876</v>
      </c>
      <c r="M42" s="400">
        <f t="shared" si="18"/>
        <v>1.0282858317208876</v>
      </c>
      <c r="N42" s="400">
        <f t="shared" si="18"/>
        <v>1.0711310747092582</v>
      </c>
      <c r="O42" s="400">
        <f t="shared" si="18"/>
        <v>1.0711310747092582</v>
      </c>
      <c r="P42" s="400">
        <f t="shared" si="18"/>
        <v>1.0711310747092582</v>
      </c>
      <c r="Q42" s="400">
        <f t="shared" si="18"/>
        <v>1.0711310747092582</v>
      </c>
      <c r="R42" s="400">
        <f t="shared" si="18"/>
        <v>1.0711310747092582</v>
      </c>
      <c r="S42" s="400">
        <f t="shared" si="18"/>
        <v>1.0711310747092582</v>
      </c>
      <c r="T42" s="400">
        <f t="shared" si="18"/>
        <v>1.0711310747092582</v>
      </c>
      <c r="U42" s="400">
        <f t="shared" si="18"/>
        <v>1.0711310747092582</v>
      </c>
      <c r="V42" s="400">
        <f t="shared" si="18"/>
        <v>1.0711310747092582</v>
      </c>
      <c r="W42" s="400">
        <f t="shared" si="18"/>
        <v>1.0711310747092582</v>
      </c>
      <c r="X42" s="400">
        <f t="shared" si="18"/>
        <v>1.0711310747092582</v>
      </c>
      <c r="Y42" s="400">
        <f t="shared" si="18"/>
        <v>1.0711310747092582</v>
      </c>
      <c r="Z42" s="400">
        <f t="shared" si="18"/>
        <v>1.0711310747092582</v>
      </c>
      <c r="AA42" s="400">
        <f t="shared" si="18"/>
        <v>1.0711310747092582</v>
      </c>
      <c r="AB42" s="400">
        <f t="shared" si="18"/>
        <v>1.0711310747092582</v>
      </c>
      <c r="AC42" s="400">
        <f t="shared" si="18"/>
        <v>0.79977786911624604</v>
      </c>
      <c r="AG42" s="160"/>
    </row>
    <row r="43" spans="1:33" s="69" customFormat="1" ht="12" x14ac:dyDescent="0.2">
      <c r="A43" s="100" t="s">
        <v>216</v>
      </c>
      <c r="B43" s="400">
        <f>IF(B$13="Deploy",B$36,B$36*$B127)</f>
        <v>0.79977786911624604</v>
      </c>
      <c r="C43" s="400">
        <f t="shared" ref="C43:AC43" si="19">IF(C$13="Deploy",C$36,C$36*$B127)</f>
        <v>0.79977786911624604</v>
      </c>
      <c r="D43" s="400">
        <f t="shared" si="19"/>
        <v>0.79977786911624604</v>
      </c>
      <c r="E43" s="400">
        <f t="shared" si="19"/>
        <v>0.79977786911624604</v>
      </c>
      <c r="F43" s="400">
        <f t="shared" si="19"/>
        <v>0.79977786911624604</v>
      </c>
      <c r="G43" s="400">
        <f t="shared" si="19"/>
        <v>0.79977786911624604</v>
      </c>
      <c r="H43" s="400">
        <f t="shared" si="19"/>
        <v>0.91403185041856694</v>
      </c>
      <c r="I43" s="400">
        <f t="shared" si="19"/>
        <v>0.91403185041856694</v>
      </c>
      <c r="J43" s="400">
        <f t="shared" si="19"/>
        <v>0.91403185041856694</v>
      </c>
      <c r="K43" s="400">
        <f t="shared" si="19"/>
        <v>1.0282858317208876</v>
      </c>
      <c r="L43" s="400">
        <f t="shared" si="19"/>
        <v>1.0282858317208876</v>
      </c>
      <c r="M43" s="400">
        <f t="shared" si="19"/>
        <v>1.0282858317208876</v>
      </c>
      <c r="N43" s="400">
        <f t="shared" si="19"/>
        <v>1.0711310747092582</v>
      </c>
      <c r="O43" s="400">
        <f t="shared" si="19"/>
        <v>1.0711310747092582</v>
      </c>
      <c r="P43" s="400">
        <f t="shared" si="19"/>
        <v>1.0711310747092582</v>
      </c>
      <c r="Q43" s="400">
        <f t="shared" si="19"/>
        <v>1.0711310747092582</v>
      </c>
      <c r="R43" s="400">
        <f t="shared" si="19"/>
        <v>3</v>
      </c>
      <c r="S43" s="400">
        <f t="shared" si="19"/>
        <v>3</v>
      </c>
      <c r="T43" s="400">
        <f t="shared" si="19"/>
        <v>3</v>
      </c>
      <c r="U43" s="400">
        <f t="shared" si="19"/>
        <v>3</v>
      </c>
      <c r="V43" s="400">
        <f t="shared" si="19"/>
        <v>3</v>
      </c>
      <c r="W43" s="400">
        <f t="shared" si="19"/>
        <v>3</v>
      </c>
      <c r="X43" s="400">
        <f t="shared" si="19"/>
        <v>1.0711310747092582</v>
      </c>
      <c r="Y43" s="400">
        <f t="shared" si="19"/>
        <v>1.0711310747092582</v>
      </c>
      <c r="Z43" s="400">
        <f t="shared" si="19"/>
        <v>1.0711310747092582</v>
      </c>
      <c r="AA43" s="400">
        <f t="shared" si="19"/>
        <v>1.0711310747092582</v>
      </c>
      <c r="AB43" s="400">
        <f t="shared" si="19"/>
        <v>1.0711310747092582</v>
      </c>
      <c r="AC43" s="400">
        <f t="shared" si="19"/>
        <v>0.79977786911624604</v>
      </c>
      <c r="AG43" s="160"/>
    </row>
    <row r="44" spans="1:33" s="69" customFormat="1" ht="12.75" x14ac:dyDescent="0.2">
      <c r="A44" s="332" t="s">
        <v>217</v>
      </c>
      <c r="B44" s="400">
        <f t="shared" si="18"/>
        <v>2.2400000000000002</v>
      </c>
      <c r="C44" s="400">
        <f t="shared" si="18"/>
        <v>2.2400000000000002</v>
      </c>
      <c r="D44" s="400">
        <f t="shared" si="18"/>
        <v>2.2400000000000002</v>
      </c>
      <c r="E44" s="400">
        <f t="shared" si="18"/>
        <v>2.2400000000000002</v>
      </c>
      <c r="F44" s="400">
        <f t="shared" si="18"/>
        <v>2.2400000000000002</v>
      </c>
      <c r="G44" s="400">
        <f t="shared" si="18"/>
        <v>2.2400000000000002</v>
      </c>
      <c r="H44" s="400">
        <f t="shared" si="18"/>
        <v>2.56</v>
      </c>
      <c r="I44" s="400">
        <f t="shared" si="18"/>
        <v>2.56</v>
      </c>
      <c r="J44" s="400">
        <f t="shared" si="18"/>
        <v>2.56</v>
      </c>
      <c r="K44" s="400">
        <f t="shared" si="18"/>
        <v>2.88</v>
      </c>
      <c r="L44" s="400">
        <f t="shared" si="18"/>
        <v>2.88</v>
      </c>
      <c r="M44" s="400">
        <f t="shared" si="18"/>
        <v>2.88</v>
      </c>
      <c r="N44" s="400">
        <f t="shared" si="18"/>
        <v>3</v>
      </c>
      <c r="O44" s="400">
        <f t="shared" si="18"/>
        <v>3</v>
      </c>
      <c r="P44" s="400">
        <f t="shared" si="18"/>
        <v>3</v>
      </c>
      <c r="Q44" s="400">
        <f t="shared" si="18"/>
        <v>3</v>
      </c>
      <c r="R44" s="400">
        <f t="shared" si="18"/>
        <v>3</v>
      </c>
      <c r="S44" s="400">
        <f t="shared" si="18"/>
        <v>3</v>
      </c>
      <c r="T44" s="400">
        <f t="shared" si="18"/>
        <v>3</v>
      </c>
      <c r="U44" s="400">
        <f t="shared" si="18"/>
        <v>3</v>
      </c>
      <c r="V44" s="400">
        <f t="shared" si="18"/>
        <v>3</v>
      </c>
      <c r="W44" s="400">
        <f t="shared" si="18"/>
        <v>3</v>
      </c>
      <c r="X44" s="400">
        <f t="shared" si="18"/>
        <v>3</v>
      </c>
      <c r="Y44" s="400">
        <f t="shared" si="18"/>
        <v>3</v>
      </c>
      <c r="Z44" s="400">
        <f t="shared" si="18"/>
        <v>3</v>
      </c>
      <c r="AA44" s="400">
        <f t="shared" si="18"/>
        <v>3</v>
      </c>
      <c r="AB44" s="400">
        <f t="shared" si="18"/>
        <v>3</v>
      </c>
      <c r="AC44" s="400">
        <f t="shared" si="18"/>
        <v>2.2400000000000002</v>
      </c>
      <c r="AG44" s="160"/>
    </row>
    <row r="45" spans="1:33" s="69" customFormat="1" ht="12.75" x14ac:dyDescent="0.2">
      <c r="A45" s="100" t="s">
        <v>196</v>
      </c>
      <c r="B45" s="98">
        <f t="shared" ref="B45:J45" si="20">ROUND($B$2*B$32,2)</f>
        <v>2.8</v>
      </c>
      <c r="C45" s="98">
        <f t="shared" si="20"/>
        <v>2.8</v>
      </c>
      <c r="D45" s="98">
        <f t="shared" si="20"/>
        <v>2.8</v>
      </c>
      <c r="E45" s="98">
        <f t="shared" si="20"/>
        <v>2.8</v>
      </c>
      <c r="F45" s="98">
        <f t="shared" si="20"/>
        <v>2.8</v>
      </c>
      <c r="G45" s="98">
        <f t="shared" si="20"/>
        <v>2.8</v>
      </c>
      <c r="H45" s="98">
        <f t="shared" si="20"/>
        <v>3.2</v>
      </c>
      <c r="I45" s="98">
        <f t="shared" si="20"/>
        <v>3.2</v>
      </c>
      <c r="J45" s="98">
        <f t="shared" si="20"/>
        <v>3.2</v>
      </c>
      <c r="K45" s="98">
        <f t="shared" ref="K45:AB45" si="21">ROUND(MIN(4,$B$2*K$33),3)</f>
        <v>2.88</v>
      </c>
      <c r="L45" s="98">
        <f t="shared" si="21"/>
        <v>2.88</v>
      </c>
      <c r="M45" s="98">
        <f t="shared" si="21"/>
        <v>2.88</v>
      </c>
      <c r="N45" s="98">
        <f t="shared" si="21"/>
        <v>3.2</v>
      </c>
      <c r="O45" s="98">
        <f t="shared" si="21"/>
        <v>3.2</v>
      </c>
      <c r="P45" s="98">
        <f t="shared" si="21"/>
        <v>3.2</v>
      </c>
      <c r="Q45" s="98">
        <f t="shared" si="21"/>
        <v>3.2</v>
      </c>
      <c r="R45" s="98">
        <f t="shared" si="21"/>
        <v>3.2</v>
      </c>
      <c r="S45" s="98">
        <f t="shared" si="21"/>
        <v>3.2</v>
      </c>
      <c r="T45" s="98">
        <f t="shared" si="21"/>
        <v>3.2</v>
      </c>
      <c r="U45" s="98">
        <f t="shared" si="21"/>
        <v>3.2</v>
      </c>
      <c r="V45" s="98">
        <f t="shared" si="21"/>
        <v>3.2</v>
      </c>
      <c r="W45" s="98">
        <f t="shared" si="21"/>
        <v>3.2</v>
      </c>
      <c r="X45" s="98">
        <f t="shared" si="21"/>
        <v>3.2</v>
      </c>
      <c r="Y45" s="98">
        <f t="shared" si="21"/>
        <v>3.2</v>
      </c>
      <c r="Z45" s="98">
        <f t="shared" si="21"/>
        <v>3.2</v>
      </c>
      <c r="AA45" s="98">
        <f t="shared" si="21"/>
        <v>3.2</v>
      </c>
      <c r="AB45" s="98">
        <f t="shared" si="21"/>
        <v>3.2</v>
      </c>
      <c r="AC45" s="98">
        <f>ROUND($B$2*AC$32,2)</f>
        <v>2.8</v>
      </c>
      <c r="AG45" s="339"/>
    </row>
    <row r="46" spans="1:33" s="69" customFormat="1" ht="12" x14ac:dyDescent="0.2">
      <c r="A46" s="100" t="s">
        <v>197</v>
      </c>
      <c r="B46" s="98">
        <f>IF($B124&gt;=0.9, B$36,B$36*$B124)</f>
        <v>1.7192430907618825</v>
      </c>
      <c r="C46" s="98">
        <f t="shared" ref="C46:AC46" si="22">IF($B124&gt;=0.9, C$36,C$36*$B124)</f>
        <v>1.7192430907618825</v>
      </c>
      <c r="D46" s="98">
        <f t="shared" si="22"/>
        <v>1.7192430907618825</v>
      </c>
      <c r="E46" s="98">
        <f t="shared" si="22"/>
        <v>1.7192430907618825</v>
      </c>
      <c r="F46" s="98">
        <f t="shared" si="22"/>
        <v>1.7192430907618825</v>
      </c>
      <c r="G46" s="98">
        <f t="shared" si="22"/>
        <v>1.7192430907618825</v>
      </c>
      <c r="H46" s="98">
        <f t="shared" si="22"/>
        <v>1.9648492465850083</v>
      </c>
      <c r="I46" s="98">
        <f t="shared" si="22"/>
        <v>1.9648492465850083</v>
      </c>
      <c r="J46" s="98">
        <f t="shared" si="22"/>
        <v>1.9648492465850083</v>
      </c>
      <c r="K46" s="98">
        <f t="shared" si="22"/>
        <v>2.2104554024081344</v>
      </c>
      <c r="L46" s="98">
        <f t="shared" si="22"/>
        <v>2.2104554024081344</v>
      </c>
      <c r="M46" s="98">
        <f t="shared" si="22"/>
        <v>2.2104554024081344</v>
      </c>
      <c r="N46" s="98">
        <f t="shared" si="22"/>
        <v>2.3025577108418065</v>
      </c>
      <c r="O46" s="98">
        <f t="shared" si="22"/>
        <v>2.3025577108418065</v>
      </c>
      <c r="P46" s="98">
        <f t="shared" si="22"/>
        <v>2.3025577108418065</v>
      </c>
      <c r="Q46" s="98">
        <f t="shared" si="22"/>
        <v>2.3025577108418065</v>
      </c>
      <c r="R46" s="98">
        <f t="shared" si="22"/>
        <v>2.3025577108418065</v>
      </c>
      <c r="S46" s="98">
        <f t="shared" si="22"/>
        <v>2.3025577108418065</v>
      </c>
      <c r="T46" s="98">
        <f t="shared" si="22"/>
        <v>2.3025577108418065</v>
      </c>
      <c r="U46" s="98">
        <f t="shared" si="22"/>
        <v>2.3025577108418065</v>
      </c>
      <c r="V46" s="98">
        <f t="shared" si="22"/>
        <v>2.3025577108418065</v>
      </c>
      <c r="W46" s="98">
        <f t="shared" si="22"/>
        <v>2.3025577108418065</v>
      </c>
      <c r="X46" s="98">
        <f t="shared" si="22"/>
        <v>2.3025577108418065</v>
      </c>
      <c r="Y46" s="98">
        <f t="shared" si="22"/>
        <v>2.3025577108418065</v>
      </c>
      <c r="Z46" s="98">
        <f t="shared" si="22"/>
        <v>2.3025577108418065</v>
      </c>
      <c r="AA46" s="98">
        <f t="shared" si="22"/>
        <v>2.3025577108418065</v>
      </c>
      <c r="AB46" s="98">
        <f t="shared" si="22"/>
        <v>2.3025577108418065</v>
      </c>
      <c r="AC46" s="98">
        <f t="shared" si="22"/>
        <v>1.7192430907618825</v>
      </c>
      <c r="AG46" s="211"/>
    </row>
    <row r="47" spans="1:33" s="69" customFormat="1" ht="12" x14ac:dyDescent="0.2">
      <c r="A47" s="100" t="s">
        <v>198</v>
      </c>
      <c r="B47" s="98">
        <f>B36</f>
        <v>2.2400000000000002</v>
      </c>
      <c r="C47" s="98">
        <f t="shared" ref="C47:AC47" si="23">C36</f>
        <v>2.2400000000000002</v>
      </c>
      <c r="D47" s="98">
        <f t="shared" si="23"/>
        <v>2.2400000000000002</v>
      </c>
      <c r="E47" s="98">
        <f t="shared" si="23"/>
        <v>2.2400000000000002</v>
      </c>
      <c r="F47" s="98">
        <f t="shared" si="23"/>
        <v>2.2400000000000002</v>
      </c>
      <c r="G47" s="98">
        <f t="shared" si="23"/>
        <v>2.2400000000000002</v>
      </c>
      <c r="H47" s="98">
        <f t="shared" si="23"/>
        <v>2.56</v>
      </c>
      <c r="I47" s="98">
        <f t="shared" si="23"/>
        <v>2.56</v>
      </c>
      <c r="J47" s="98">
        <f t="shared" si="23"/>
        <v>2.56</v>
      </c>
      <c r="K47" s="98">
        <f t="shared" si="23"/>
        <v>2.88</v>
      </c>
      <c r="L47" s="98">
        <f t="shared" si="23"/>
        <v>2.88</v>
      </c>
      <c r="M47" s="98">
        <f t="shared" si="23"/>
        <v>2.88</v>
      </c>
      <c r="N47" s="98">
        <f t="shared" si="23"/>
        <v>3</v>
      </c>
      <c r="O47" s="98">
        <f t="shared" si="23"/>
        <v>3</v>
      </c>
      <c r="P47" s="98">
        <f t="shared" si="23"/>
        <v>3</v>
      </c>
      <c r="Q47" s="98">
        <f t="shared" si="23"/>
        <v>3</v>
      </c>
      <c r="R47" s="98">
        <f t="shared" si="23"/>
        <v>3</v>
      </c>
      <c r="S47" s="98">
        <f t="shared" si="23"/>
        <v>3</v>
      </c>
      <c r="T47" s="98">
        <f t="shared" si="23"/>
        <v>3</v>
      </c>
      <c r="U47" s="98">
        <f t="shared" si="23"/>
        <v>3</v>
      </c>
      <c r="V47" s="98">
        <f t="shared" si="23"/>
        <v>3</v>
      </c>
      <c r="W47" s="98">
        <f t="shared" si="23"/>
        <v>3</v>
      </c>
      <c r="X47" s="98">
        <f t="shared" si="23"/>
        <v>3</v>
      </c>
      <c r="Y47" s="98">
        <f t="shared" si="23"/>
        <v>3</v>
      </c>
      <c r="Z47" s="98">
        <f t="shared" si="23"/>
        <v>3</v>
      </c>
      <c r="AA47" s="98">
        <f t="shared" si="23"/>
        <v>3</v>
      </c>
      <c r="AB47" s="98">
        <f t="shared" si="23"/>
        <v>3</v>
      </c>
      <c r="AC47" s="98">
        <f t="shared" si="23"/>
        <v>2.2400000000000002</v>
      </c>
    </row>
    <row r="48" spans="1:33" s="69" customFormat="1" ht="12" x14ac:dyDescent="0.2">
      <c r="A48" s="100" t="s">
        <v>199</v>
      </c>
      <c r="B48" s="221">
        <f>IF($B124&gt;=0.9, B$36,B$36*$B124)</f>
        <v>1.7192430907618825</v>
      </c>
      <c r="C48" s="221">
        <f t="shared" ref="C48:AC48" si="24">IF($B124&gt;=0.9, C$36,C$36*$B124)</f>
        <v>1.7192430907618825</v>
      </c>
      <c r="D48" s="221">
        <f t="shared" si="24"/>
        <v>1.7192430907618825</v>
      </c>
      <c r="E48" s="221">
        <f t="shared" si="24"/>
        <v>1.7192430907618825</v>
      </c>
      <c r="F48" s="221">
        <f t="shared" si="24"/>
        <v>1.7192430907618825</v>
      </c>
      <c r="G48" s="221">
        <f t="shared" si="24"/>
        <v>1.7192430907618825</v>
      </c>
      <c r="H48" s="221">
        <f t="shared" si="24"/>
        <v>1.9648492465850083</v>
      </c>
      <c r="I48" s="221">
        <f t="shared" si="24"/>
        <v>1.9648492465850083</v>
      </c>
      <c r="J48" s="221">
        <f t="shared" si="24"/>
        <v>1.9648492465850083</v>
      </c>
      <c r="K48" s="221">
        <f t="shared" si="24"/>
        <v>2.2104554024081344</v>
      </c>
      <c r="L48" s="221">
        <f t="shared" si="24"/>
        <v>2.2104554024081344</v>
      </c>
      <c r="M48" s="221">
        <f t="shared" si="24"/>
        <v>2.2104554024081344</v>
      </c>
      <c r="N48" s="221">
        <f t="shared" si="24"/>
        <v>2.3025577108418065</v>
      </c>
      <c r="O48" s="221">
        <f t="shared" si="24"/>
        <v>2.3025577108418065</v>
      </c>
      <c r="P48" s="221">
        <f t="shared" si="24"/>
        <v>2.3025577108418065</v>
      </c>
      <c r="Q48" s="221">
        <f t="shared" si="24"/>
        <v>2.3025577108418065</v>
      </c>
      <c r="R48" s="221">
        <f t="shared" si="24"/>
        <v>2.3025577108418065</v>
      </c>
      <c r="S48" s="221">
        <f t="shared" si="24"/>
        <v>2.3025577108418065</v>
      </c>
      <c r="T48" s="221">
        <f t="shared" si="24"/>
        <v>2.3025577108418065</v>
      </c>
      <c r="U48" s="221">
        <f t="shared" si="24"/>
        <v>2.3025577108418065</v>
      </c>
      <c r="V48" s="221">
        <f t="shared" si="24"/>
        <v>2.3025577108418065</v>
      </c>
      <c r="W48" s="221">
        <f t="shared" si="24"/>
        <v>2.3025577108418065</v>
      </c>
      <c r="X48" s="221">
        <f t="shared" si="24"/>
        <v>2.3025577108418065</v>
      </c>
      <c r="Y48" s="221">
        <f t="shared" si="24"/>
        <v>2.3025577108418065</v>
      </c>
      <c r="Z48" s="221">
        <f t="shared" si="24"/>
        <v>2.3025577108418065</v>
      </c>
      <c r="AA48" s="221">
        <f t="shared" si="24"/>
        <v>2.3025577108418065</v>
      </c>
      <c r="AB48" s="221">
        <f t="shared" si="24"/>
        <v>2.3025577108418065</v>
      </c>
      <c r="AC48" s="221">
        <f t="shared" si="24"/>
        <v>1.7192430907618825</v>
      </c>
    </row>
    <row r="49" spans="1:46" ht="12.75" x14ac:dyDescent="0.2">
      <c r="A49" s="102" t="s">
        <v>136</v>
      </c>
      <c r="B49" s="462"/>
      <c r="C49" s="463"/>
      <c r="D49" s="463"/>
      <c r="E49" s="463"/>
      <c r="F49" s="463"/>
      <c r="G49" s="463"/>
      <c r="H49" s="463"/>
      <c r="I49" s="463"/>
      <c r="J49" s="463"/>
      <c r="K49" s="463"/>
      <c r="L49" s="463"/>
      <c r="M49" s="463"/>
      <c r="N49" s="463"/>
      <c r="O49" s="463"/>
      <c r="P49" s="463"/>
      <c r="Q49" s="463"/>
      <c r="R49" s="463"/>
      <c r="S49" s="463"/>
      <c r="T49" s="463"/>
      <c r="U49" s="463"/>
      <c r="V49" s="463"/>
      <c r="W49" s="463"/>
      <c r="X49" s="463"/>
      <c r="Y49" s="463"/>
      <c r="Z49" s="463"/>
      <c r="AA49" s="463"/>
      <c r="AB49" s="463"/>
      <c r="AC49" s="464"/>
    </row>
    <row r="50" spans="1:46" ht="12" x14ac:dyDescent="0.2">
      <c r="A50" s="100" t="s">
        <v>137</v>
      </c>
      <c r="B50" s="103">
        <f t="shared" ref="B50:AC50" si="25">$B$84</f>
        <v>10</v>
      </c>
      <c r="C50" s="103">
        <f t="shared" si="25"/>
        <v>10</v>
      </c>
      <c r="D50" s="103">
        <f t="shared" si="25"/>
        <v>10</v>
      </c>
      <c r="E50" s="103">
        <f t="shared" si="25"/>
        <v>10</v>
      </c>
      <c r="F50" s="103">
        <f t="shared" si="25"/>
        <v>10</v>
      </c>
      <c r="G50" s="103">
        <f t="shared" si="25"/>
        <v>10</v>
      </c>
      <c r="H50" s="103">
        <f t="shared" si="25"/>
        <v>10</v>
      </c>
      <c r="I50" s="103">
        <f t="shared" si="25"/>
        <v>10</v>
      </c>
      <c r="J50" s="103">
        <f t="shared" si="25"/>
        <v>10</v>
      </c>
      <c r="K50" s="103">
        <f t="shared" si="25"/>
        <v>10</v>
      </c>
      <c r="L50" s="103">
        <f t="shared" si="25"/>
        <v>10</v>
      </c>
      <c r="M50" s="103">
        <f t="shared" si="25"/>
        <v>10</v>
      </c>
      <c r="N50" s="103">
        <f t="shared" si="25"/>
        <v>10</v>
      </c>
      <c r="O50" s="103">
        <f t="shared" si="25"/>
        <v>10</v>
      </c>
      <c r="P50" s="103">
        <f t="shared" si="25"/>
        <v>10</v>
      </c>
      <c r="Q50" s="103">
        <f t="shared" si="25"/>
        <v>10</v>
      </c>
      <c r="R50" s="103">
        <f t="shared" si="25"/>
        <v>10</v>
      </c>
      <c r="S50" s="103">
        <f t="shared" si="25"/>
        <v>10</v>
      </c>
      <c r="T50" s="103">
        <f t="shared" si="25"/>
        <v>10</v>
      </c>
      <c r="U50" s="103">
        <f t="shared" si="25"/>
        <v>10</v>
      </c>
      <c r="V50" s="103">
        <f t="shared" si="25"/>
        <v>10</v>
      </c>
      <c r="W50" s="103">
        <f t="shared" si="25"/>
        <v>10</v>
      </c>
      <c r="X50" s="103">
        <f t="shared" si="25"/>
        <v>10</v>
      </c>
      <c r="Y50" s="103">
        <f t="shared" si="25"/>
        <v>10</v>
      </c>
      <c r="Z50" s="103">
        <f t="shared" si="25"/>
        <v>10</v>
      </c>
      <c r="AA50" s="103">
        <f t="shared" si="25"/>
        <v>10</v>
      </c>
      <c r="AB50" s="104">
        <f t="shared" si="25"/>
        <v>10</v>
      </c>
      <c r="AC50" s="103">
        <f t="shared" si="25"/>
        <v>10</v>
      </c>
    </row>
    <row r="51" spans="1:46" ht="12" x14ac:dyDescent="0.2">
      <c r="A51" s="100" t="s">
        <v>138</v>
      </c>
      <c r="B51" s="80">
        <v>8</v>
      </c>
      <c r="C51" s="80">
        <v>8</v>
      </c>
      <c r="D51" s="80">
        <v>8</v>
      </c>
      <c r="E51" s="80">
        <v>8</v>
      </c>
      <c r="F51" s="80">
        <v>8</v>
      </c>
      <c r="G51" s="80">
        <v>8</v>
      </c>
      <c r="H51" s="80">
        <v>8</v>
      </c>
      <c r="I51" s="80">
        <v>8</v>
      </c>
      <c r="J51" s="80">
        <v>8</v>
      </c>
      <c r="K51" s="80">
        <v>8</v>
      </c>
      <c r="L51" s="80">
        <v>8</v>
      </c>
      <c r="M51" s="80">
        <v>8</v>
      </c>
      <c r="N51" s="80">
        <v>8</v>
      </c>
      <c r="O51" s="80">
        <v>8</v>
      </c>
      <c r="P51" s="80">
        <v>8</v>
      </c>
      <c r="Q51" s="80">
        <v>8</v>
      </c>
      <c r="R51" s="80">
        <v>10</v>
      </c>
      <c r="S51" s="80">
        <v>10</v>
      </c>
      <c r="T51" s="80">
        <v>10</v>
      </c>
      <c r="U51" s="80">
        <v>10</v>
      </c>
      <c r="V51" s="80">
        <v>10</v>
      </c>
      <c r="W51" s="80">
        <v>10</v>
      </c>
      <c r="X51" s="80">
        <v>10</v>
      </c>
      <c r="Y51" s="80">
        <v>10</v>
      </c>
      <c r="Z51" s="80">
        <v>10</v>
      </c>
      <c r="AA51" s="80">
        <v>8</v>
      </c>
      <c r="AB51" s="462">
        <v>8</v>
      </c>
      <c r="AC51" s="80">
        <v>8</v>
      </c>
    </row>
    <row r="52" spans="1:46" ht="12" x14ac:dyDescent="0.2">
      <c r="A52" s="100" t="s">
        <v>139</v>
      </c>
      <c r="B52" s="105">
        <f>$B$86</f>
        <v>15</v>
      </c>
      <c r="C52" s="105">
        <v>15</v>
      </c>
      <c r="D52" s="105">
        <v>15</v>
      </c>
      <c r="E52" s="105">
        <v>15</v>
      </c>
      <c r="F52" s="105">
        <v>15</v>
      </c>
      <c r="G52" s="105">
        <v>15</v>
      </c>
      <c r="H52" s="105">
        <v>15</v>
      </c>
      <c r="I52" s="105">
        <v>15</v>
      </c>
      <c r="J52" s="105">
        <v>15</v>
      </c>
      <c r="K52" s="105">
        <v>15</v>
      </c>
      <c r="L52" s="105">
        <v>15</v>
      </c>
      <c r="M52" s="105">
        <v>15</v>
      </c>
      <c r="N52" s="105">
        <v>15</v>
      </c>
      <c r="O52" s="105">
        <v>15</v>
      </c>
      <c r="P52" s="105">
        <v>15</v>
      </c>
      <c r="Q52" s="105">
        <v>15</v>
      </c>
      <c r="R52" s="105">
        <v>15</v>
      </c>
      <c r="S52" s="105">
        <v>15</v>
      </c>
      <c r="T52" s="105">
        <v>15</v>
      </c>
      <c r="U52" s="105">
        <v>15</v>
      </c>
      <c r="V52" s="105">
        <v>15</v>
      </c>
      <c r="W52" s="105">
        <v>15</v>
      </c>
      <c r="X52" s="105">
        <v>15</v>
      </c>
      <c r="Y52" s="105">
        <v>15</v>
      </c>
      <c r="Z52" s="105">
        <v>15</v>
      </c>
      <c r="AA52" s="105">
        <v>15</v>
      </c>
      <c r="AB52" s="106">
        <v>15</v>
      </c>
      <c r="AC52" s="105">
        <v>15</v>
      </c>
    </row>
    <row r="53" spans="1:46" ht="12" x14ac:dyDescent="0.2">
      <c r="A53" s="100" t="s">
        <v>140</v>
      </c>
      <c r="B53" s="105">
        <v>12</v>
      </c>
      <c r="C53" s="105">
        <v>12</v>
      </c>
      <c r="D53" s="105">
        <v>12</v>
      </c>
      <c r="E53" s="105">
        <v>12</v>
      </c>
      <c r="F53" s="105">
        <v>12</v>
      </c>
      <c r="G53" s="105">
        <v>12</v>
      </c>
      <c r="H53" s="105">
        <v>12</v>
      </c>
      <c r="I53" s="105">
        <v>12</v>
      </c>
      <c r="J53" s="105">
        <v>12</v>
      </c>
      <c r="K53" s="105">
        <v>12</v>
      </c>
      <c r="L53" s="105">
        <v>12</v>
      </c>
      <c r="M53" s="105">
        <v>12</v>
      </c>
      <c r="N53" s="105">
        <v>12</v>
      </c>
      <c r="O53" s="105">
        <v>12</v>
      </c>
      <c r="P53" s="105">
        <v>12</v>
      </c>
      <c r="Q53" s="105">
        <v>12</v>
      </c>
      <c r="R53" s="105">
        <v>12</v>
      </c>
      <c r="S53" s="105">
        <v>12</v>
      </c>
      <c r="T53" s="105">
        <v>12</v>
      </c>
      <c r="U53" s="105">
        <v>12</v>
      </c>
      <c r="V53" s="105">
        <v>12</v>
      </c>
      <c r="W53" s="105">
        <v>12</v>
      </c>
      <c r="X53" s="105">
        <v>12</v>
      </c>
      <c r="Y53" s="105">
        <v>12</v>
      </c>
      <c r="Z53" s="105">
        <v>12</v>
      </c>
      <c r="AA53" s="105">
        <v>12</v>
      </c>
      <c r="AB53" s="106">
        <v>12</v>
      </c>
      <c r="AC53" s="105">
        <v>12</v>
      </c>
    </row>
    <row r="54" spans="1:46" ht="12" x14ac:dyDescent="0.2">
      <c r="A54" s="107" t="s">
        <v>156</v>
      </c>
      <c r="B54" s="108">
        <f t="shared" ref="B54:AC54" si="26">ROUNDUP(IF(B$13="Deploy",MAX((B$78/100)*$B88,$B88),(B$78/100)*$B88),0)</f>
        <v>1</v>
      </c>
      <c r="C54" s="108">
        <f t="shared" si="26"/>
        <v>1</v>
      </c>
      <c r="D54" s="108">
        <f t="shared" si="26"/>
        <v>1</v>
      </c>
      <c r="E54" s="108">
        <f t="shared" si="26"/>
        <v>1</v>
      </c>
      <c r="F54" s="108">
        <f t="shared" si="26"/>
        <v>1</v>
      </c>
      <c r="G54" s="108">
        <f t="shared" si="26"/>
        <v>1</v>
      </c>
      <c r="H54" s="108">
        <f t="shared" si="26"/>
        <v>1</v>
      </c>
      <c r="I54" s="108">
        <f t="shared" si="26"/>
        <v>1</v>
      </c>
      <c r="J54" s="108">
        <f t="shared" si="26"/>
        <v>1</v>
      </c>
      <c r="K54" s="108">
        <f t="shared" si="26"/>
        <v>1</v>
      </c>
      <c r="L54" s="108">
        <f t="shared" si="26"/>
        <v>1</v>
      </c>
      <c r="M54" s="108">
        <f t="shared" si="26"/>
        <v>1</v>
      </c>
      <c r="N54" s="108">
        <f t="shared" si="26"/>
        <v>1</v>
      </c>
      <c r="O54" s="108">
        <f t="shared" si="26"/>
        <v>1</v>
      </c>
      <c r="P54" s="108">
        <f t="shared" si="26"/>
        <v>1</v>
      </c>
      <c r="Q54" s="108">
        <f t="shared" si="26"/>
        <v>1</v>
      </c>
      <c r="R54" s="108">
        <f t="shared" si="26"/>
        <v>1</v>
      </c>
      <c r="S54" s="108">
        <f t="shared" si="26"/>
        <v>1</v>
      </c>
      <c r="T54" s="108">
        <f t="shared" si="26"/>
        <v>1</v>
      </c>
      <c r="U54" s="108">
        <f t="shared" si="26"/>
        <v>1</v>
      </c>
      <c r="V54" s="108">
        <f t="shared" si="26"/>
        <v>1</v>
      </c>
      <c r="W54" s="108">
        <f t="shared" si="26"/>
        <v>1</v>
      </c>
      <c r="X54" s="108">
        <f t="shared" si="26"/>
        <v>1</v>
      </c>
      <c r="Y54" s="108">
        <f t="shared" si="26"/>
        <v>1</v>
      </c>
      <c r="Z54" s="108">
        <f t="shared" si="26"/>
        <v>1</v>
      </c>
      <c r="AA54" s="108">
        <f t="shared" si="26"/>
        <v>1</v>
      </c>
      <c r="AB54" s="108">
        <f t="shared" si="26"/>
        <v>1</v>
      </c>
      <c r="AC54" s="108">
        <f t="shared" si="26"/>
        <v>1</v>
      </c>
    </row>
    <row r="55" spans="1:46" ht="12" x14ac:dyDescent="0.2">
      <c r="A55" s="107" t="s">
        <v>157</v>
      </c>
      <c r="B55" s="109">
        <v>4</v>
      </c>
      <c r="C55" s="109">
        <v>4</v>
      </c>
      <c r="D55" s="109">
        <v>4</v>
      </c>
      <c r="E55" s="109">
        <v>4</v>
      </c>
      <c r="F55" s="109">
        <v>4</v>
      </c>
      <c r="G55" s="109">
        <v>4</v>
      </c>
      <c r="H55" s="109">
        <v>4</v>
      </c>
      <c r="I55" s="109">
        <v>4</v>
      </c>
      <c r="J55" s="109">
        <v>4</v>
      </c>
      <c r="K55" s="109">
        <v>4</v>
      </c>
      <c r="L55" s="108">
        <f t="shared" ref="L55:AC55" si="27">ROUND(IF(L$13="Deploy",MAX((L$78/100)*$B89,$B89),(L$78/100)*$B89),0)</f>
        <v>3</v>
      </c>
      <c r="M55" s="108">
        <f t="shared" si="27"/>
        <v>3</v>
      </c>
      <c r="N55" s="108">
        <f t="shared" si="27"/>
        <v>3</v>
      </c>
      <c r="O55" s="108">
        <f t="shared" si="27"/>
        <v>3</v>
      </c>
      <c r="P55" s="108">
        <f t="shared" si="27"/>
        <v>3</v>
      </c>
      <c r="Q55" s="108">
        <f t="shared" si="27"/>
        <v>3</v>
      </c>
      <c r="R55" s="108">
        <f t="shared" si="27"/>
        <v>4</v>
      </c>
      <c r="S55" s="108">
        <f t="shared" si="27"/>
        <v>4</v>
      </c>
      <c r="T55" s="108">
        <f t="shared" si="27"/>
        <v>4</v>
      </c>
      <c r="U55" s="108">
        <f t="shared" si="27"/>
        <v>4</v>
      </c>
      <c r="V55" s="108">
        <f t="shared" si="27"/>
        <v>4</v>
      </c>
      <c r="W55" s="108">
        <f t="shared" si="27"/>
        <v>4</v>
      </c>
      <c r="X55" s="108">
        <f t="shared" si="27"/>
        <v>4</v>
      </c>
      <c r="Y55" s="108">
        <f t="shared" si="27"/>
        <v>4</v>
      </c>
      <c r="Z55" s="108">
        <f t="shared" si="27"/>
        <v>3</v>
      </c>
      <c r="AA55" s="108">
        <f t="shared" si="27"/>
        <v>3</v>
      </c>
      <c r="AB55" s="108">
        <f t="shared" si="27"/>
        <v>3</v>
      </c>
      <c r="AC55" s="108">
        <f t="shared" si="27"/>
        <v>1</v>
      </c>
    </row>
    <row r="56" spans="1:46" ht="12" x14ac:dyDescent="0.2">
      <c r="A56" s="107" t="s">
        <v>158</v>
      </c>
      <c r="B56" s="108">
        <f t="shared" ref="B56:K56" si="28">ROUND(IF(B$13="Deploy",MAX((B$78/100)*$B90,$B90),(B$78/100)*$B90),0)</f>
        <v>2</v>
      </c>
      <c r="C56" s="108">
        <f t="shared" si="28"/>
        <v>2</v>
      </c>
      <c r="D56" s="108">
        <f t="shared" si="28"/>
        <v>2</v>
      </c>
      <c r="E56" s="108">
        <f t="shared" si="28"/>
        <v>2</v>
      </c>
      <c r="F56" s="108">
        <f t="shared" si="28"/>
        <v>2</v>
      </c>
      <c r="G56" s="108">
        <f t="shared" si="28"/>
        <v>2</v>
      </c>
      <c r="H56" s="108">
        <f t="shared" si="28"/>
        <v>2</v>
      </c>
      <c r="I56" s="108">
        <f t="shared" si="28"/>
        <v>3</v>
      </c>
      <c r="J56" s="108">
        <f t="shared" si="28"/>
        <v>3</v>
      </c>
      <c r="K56" s="108">
        <f t="shared" si="28"/>
        <v>3</v>
      </c>
      <c r="L56" s="108">
        <f t="shared" ref="L56:AC56" si="29">ROUND(IF(L$13="Deploy",MAX((L$78/100)*$B90,$B90),(L$78/100)*$B90),0)</f>
        <v>4</v>
      </c>
      <c r="M56" s="108">
        <f t="shared" si="29"/>
        <v>4</v>
      </c>
      <c r="N56" s="108">
        <f t="shared" si="29"/>
        <v>4</v>
      </c>
      <c r="O56" s="108">
        <f t="shared" si="29"/>
        <v>4</v>
      </c>
      <c r="P56" s="108">
        <f t="shared" si="29"/>
        <v>4</v>
      </c>
      <c r="Q56" s="108">
        <f t="shared" si="29"/>
        <v>4</v>
      </c>
      <c r="R56" s="108">
        <f t="shared" si="29"/>
        <v>5</v>
      </c>
      <c r="S56" s="108">
        <f t="shared" si="29"/>
        <v>5</v>
      </c>
      <c r="T56" s="108">
        <f t="shared" si="29"/>
        <v>5</v>
      </c>
      <c r="U56" s="108">
        <f t="shared" si="29"/>
        <v>5</v>
      </c>
      <c r="V56" s="108">
        <f t="shared" si="29"/>
        <v>5</v>
      </c>
      <c r="W56" s="108">
        <f t="shared" si="29"/>
        <v>5</v>
      </c>
      <c r="X56" s="108">
        <f t="shared" si="29"/>
        <v>5</v>
      </c>
      <c r="Y56" s="108">
        <f t="shared" si="29"/>
        <v>5</v>
      </c>
      <c r="Z56" s="108">
        <f t="shared" si="29"/>
        <v>4</v>
      </c>
      <c r="AA56" s="108">
        <f t="shared" si="29"/>
        <v>4</v>
      </c>
      <c r="AB56" s="108">
        <f t="shared" si="29"/>
        <v>4</v>
      </c>
      <c r="AC56" s="108">
        <f t="shared" si="29"/>
        <v>2</v>
      </c>
    </row>
    <row r="57" spans="1:46" ht="12" x14ac:dyDescent="0.2">
      <c r="A57" s="107" t="s">
        <v>159</v>
      </c>
      <c r="B57" s="108">
        <f t="shared" ref="B57:K57" si="30">ROUND(IF(B$13="Deploy",MAX((B$78/100)*$B91,$B91),(B$78/100)*$B91),0)</f>
        <v>3</v>
      </c>
      <c r="C57" s="108">
        <f t="shared" si="30"/>
        <v>3</v>
      </c>
      <c r="D57" s="108">
        <f t="shared" si="30"/>
        <v>3</v>
      </c>
      <c r="E57" s="108">
        <f t="shared" si="30"/>
        <v>3</v>
      </c>
      <c r="F57" s="108">
        <f t="shared" si="30"/>
        <v>3</v>
      </c>
      <c r="G57" s="108">
        <f t="shared" si="30"/>
        <v>3</v>
      </c>
      <c r="H57" s="108">
        <f t="shared" si="30"/>
        <v>4</v>
      </c>
      <c r="I57" s="108">
        <f t="shared" si="30"/>
        <v>4</v>
      </c>
      <c r="J57" s="108">
        <f t="shared" si="30"/>
        <v>5</v>
      </c>
      <c r="K57" s="108">
        <f t="shared" si="30"/>
        <v>5</v>
      </c>
      <c r="L57" s="108">
        <f t="shared" ref="L57:AC57" si="31">ROUND(IF(L$13="Deploy",MAX((L$78/100)*$B91,$B91),(L$78/100)*$B91),0)</f>
        <v>6</v>
      </c>
      <c r="M57" s="108">
        <f t="shared" si="31"/>
        <v>7</v>
      </c>
      <c r="N57" s="108">
        <f t="shared" si="31"/>
        <v>7</v>
      </c>
      <c r="O57" s="108">
        <f t="shared" si="31"/>
        <v>7</v>
      </c>
      <c r="P57" s="108">
        <f t="shared" si="31"/>
        <v>7</v>
      </c>
      <c r="Q57" s="108">
        <f t="shared" si="31"/>
        <v>7</v>
      </c>
      <c r="R57" s="108">
        <f t="shared" si="31"/>
        <v>8</v>
      </c>
      <c r="S57" s="108">
        <f t="shared" si="31"/>
        <v>8</v>
      </c>
      <c r="T57" s="108">
        <f t="shared" si="31"/>
        <v>8</v>
      </c>
      <c r="U57" s="108">
        <f t="shared" si="31"/>
        <v>8</v>
      </c>
      <c r="V57" s="108">
        <f t="shared" si="31"/>
        <v>8</v>
      </c>
      <c r="W57" s="108">
        <f t="shared" si="31"/>
        <v>8</v>
      </c>
      <c r="X57" s="108">
        <f t="shared" si="31"/>
        <v>8</v>
      </c>
      <c r="Y57" s="108">
        <f t="shared" si="31"/>
        <v>7</v>
      </c>
      <c r="Z57" s="108">
        <f t="shared" si="31"/>
        <v>7</v>
      </c>
      <c r="AA57" s="108">
        <f t="shared" si="31"/>
        <v>7</v>
      </c>
      <c r="AB57" s="108">
        <f t="shared" si="31"/>
        <v>6</v>
      </c>
      <c r="AC57" s="108">
        <f t="shared" si="31"/>
        <v>3</v>
      </c>
    </row>
    <row r="58" spans="1:46" s="68" customFormat="1" ht="12" x14ac:dyDescent="0.2">
      <c r="A58" s="110" t="s">
        <v>160</v>
      </c>
      <c r="B58" s="108">
        <f t="shared" ref="B58:K58" si="32">ROUND(IF(B$13="Deploy",MAX((B$78/100)*$B92,$B92),(B$78/100)*$B92),0)</f>
        <v>1</v>
      </c>
      <c r="C58" s="108">
        <f t="shared" si="32"/>
        <v>1</v>
      </c>
      <c r="D58" s="108">
        <f t="shared" si="32"/>
        <v>1</v>
      </c>
      <c r="E58" s="108">
        <f t="shared" si="32"/>
        <v>1</v>
      </c>
      <c r="F58" s="108">
        <f t="shared" si="32"/>
        <v>1</v>
      </c>
      <c r="G58" s="108">
        <f t="shared" si="32"/>
        <v>1</v>
      </c>
      <c r="H58" s="108">
        <f t="shared" si="32"/>
        <v>1</v>
      </c>
      <c r="I58" s="108">
        <f t="shared" si="32"/>
        <v>2</v>
      </c>
      <c r="J58" s="108">
        <f t="shared" si="32"/>
        <v>2</v>
      </c>
      <c r="K58" s="108">
        <f t="shared" si="32"/>
        <v>2</v>
      </c>
      <c r="L58" s="108">
        <f t="shared" ref="L58:AC58" si="33">ROUND(IF(L$13="Deploy",MAX((L$78/100)*$B92,$B92),(L$78/100)*$B92),0)</f>
        <v>2</v>
      </c>
      <c r="M58" s="108">
        <f t="shared" si="33"/>
        <v>3</v>
      </c>
      <c r="N58" s="108">
        <f t="shared" si="33"/>
        <v>3</v>
      </c>
      <c r="O58" s="108">
        <f t="shared" si="33"/>
        <v>3</v>
      </c>
      <c r="P58" s="108">
        <f t="shared" si="33"/>
        <v>3</v>
      </c>
      <c r="Q58" s="108">
        <f t="shared" si="33"/>
        <v>3</v>
      </c>
      <c r="R58" s="108">
        <f t="shared" si="33"/>
        <v>3</v>
      </c>
      <c r="S58" s="108">
        <f t="shared" si="33"/>
        <v>3</v>
      </c>
      <c r="T58" s="108">
        <f t="shared" si="33"/>
        <v>3</v>
      </c>
      <c r="U58" s="108">
        <f t="shared" si="33"/>
        <v>3</v>
      </c>
      <c r="V58" s="108">
        <f t="shared" si="33"/>
        <v>3</v>
      </c>
      <c r="W58" s="108">
        <f t="shared" si="33"/>
        <v>3</v>
      </c>
      <c r="X58" s="108">
        <f t="shared" si="33"/>
        <v>3</v>
      </c>
      <c r="Y58" s="108">
        <f t="shared" si="33"/>
        <v>3</v>
      </c>
      <c r="Z58" s="108">
        <f t="shared" si="33"/>
        <v>3</v>
      </c>
      <c r="AA58" s="108">
        <f t="shared" si="33"/>
        <v>3</v>
      </c>
      <c r="AB58" s="108">
        <f t="shared" si="33"/>
        <v>2</v>
      </c>
      <c r="AC58" s="108">
        <f t="shared" si="33"/>
        <v>1</v>
      </c>
    </row>
    <row r="59" spans="1:46" ht="12" x14ac:dyDescent="0.2">
      <c r="A59" s="107" t="s">
        <v>161</v>
      </c>
      <c r="B59" s="109">
        <v>4</v>
      </c>
      <c r="C59" s="109">
        <v>4</v>
      </c>
      <c r="D59" s="109">
        <v>4</v>
      </c>
      <c r="E59" s="109">
        <v>4</v>
      </c>
      <c r="F59" s="109">
        <v>4</v>
      </c>
      <c r="G59" s="109">
        <v>4</v>
      </c>
      <c r="H59" s="109">
        <v>4</v>
      </c>
      <c r="I59" s="109">
        <v>4</v>
      </c>
      <c r="J59" s="108">
        <f t="shared" ref="J59:K62" si="34">ROUND(IF(J$13="Deploy",MAX((J$78/100)*$B93,$B93),(J$78/100)*$B93),0)</f>
        <v>4</v>
      </c>
      <c r="K59" s="108">
        <f t="shared" si="34"/>
        <v>4</v>
      </c>
      <c r="L59" s="108">
        <f t="shared" ref="L59:AC59" si="35">ROUND(IF(L$13="Deploy",MAX((L$78/100)*$B93,$B93),(L$78/100)*$B93),0)</f>
        <v>5</v>
      </c>
      <c r="M59" s="108">
        <f t="shared" si="35"/>
        <v>5</v>
      </c>
      <c r="N59" s="108">
        <f t="shared" si="35"/>
        <v>5</v>
      </c>
      <c r="O59" s="108">
        <f t="shared" si="35"/>
        <v>5</v>
      </c>
      <c r="P59" s="108">
        <f t="shared" si="35"/>
        <v>5</v>
      </c>
      <c r="Q59" s="108">
        <f t="shared" si="35"/>
        <v>5</v>
      </c>
      <c r="R59" s="108">
        <f t="shared" si="35"/>
        <v>6</v>
      </c>
      <c r="S59" s="108">
        <f t="shared" si="35"/>
        <v>6</v>
      </c>
      <c r="T59" s="108">
        <f t="shared" si="35"/>
        <v>6</v>
      </c>
      <c r="U59" s="108">
        <f t="shared" si="35"/>
        <v>6</v>
      </c>
      <c r="V59" s="108">
        <f t="shared" si="35"/>
        <v>6</v>
      </c>
      <c r="W59" s="108">
        <f t="shared" si="35"/>
        <v>6</v>
      </c>
      <c r="X59" s="108">
        <f t="shared" si="35"/>
        <v>6</v>
      </c>
      <c r="Y59" s="108">
        <f t="shared" si="35"/>
        <v>5</v>
      </c>
      <c r="Z59" s="108">
        <f t="shared" si="35"/>
        <v>5</v>
      </c>
      <c r="AA59" s="108">
        <f t="shared" si="35"/>
        <v>5</v>
      </c>
      <c r="AB59" s="108">
        <f t="shared" si="35"/>
        <v>5</v>
      </c>
      <c r="AC59" s="108">
        <f t="shared" si="35"/>
        <v>2</v>
      </c>
    </row>
    <row r="60" spans="1:46" ht="12" x14ac:dyDescent="0.2">
      <c r="A60" s="107" t="s">
        <v>162</v>
      </c>
      <c r="B60" s="108">
        <f t="shared" ref="B60:I62" si="36">ROUND(IF(B$13="Deploy",MAX((B$78/100)*$B94,$B94),(B$78/100)*$B94),0)</f>
        <v>3</v>
      </c>
      <c r="C60" s="108">
        <f t="shared" si="36"/>
        <v>3</v>
      </c>
      <c r="D60" s="108">
        <f t="shared" si="36"/>
        <v>3</v>
      </c>
      <c r="E60" s="108">
        <f t="shared" si="36"/>
        <v>3</v>
      </c>
      <c r="F60" s="108">
        <f t="shared" si="36"/>
        <v>3</v>
      </c>
      <c r="G60" s="108">
        <f t="shared" si="36"/>
        <v>3</v>
      </c>
      <c r="H60" s="108">
        <f t="shared" si="36"/>
        <v>4</v>
      </c>
      <c r="I60" s="108">
        <f t="shared" si="36"/>
        <v>5</v>
      </c>
      <c r="J60" s="108">
        <f t="shared" si="34"/>
        <v>5</v>
      </c>
      <c r="K60" s="108">
        <f t="shared" si="34"/>
        <v>6</v>
      </c>
      <c r="L60" s="108">
        <f t="shared" ref="L60:AC60" si="37">ROUND(IF(L$13="Deploy",MAX((L$78/100)*$B94,$B94),(L$78/100)*$B94),0)</f>
        <v>7</v>
      </c>
      <c r="M60" s="108">
        <f t="shared" si="37"/>
        <v>8</v>
      </c>
      <c r="N60" s="108">
        <f t="shared" si="37"/>
        <v>8</v>
      </c>
      <c r="O60" s="108">
        <f t="shared" si="37"/>
        <v>8</v>
      </c>
      <c r="P60" s="108">
        <f t="shared" si="37"/>
        <v>8</v>
      </c>
      <c r="Q60" s="108">
        <f t="shared" si="37"/>
        <v>8</v>
      </c>
      <c r="R60" s="108">
        <f t="shared" si="37"/>
        <v>9</v>
      </c>
      <c r="S60" s="108">
        <f t="shared" si="37"/>
        <v>9</v>
      </c>
      <c r="T60" s="108">
        <f t="shared" si="37"/>
        <v>9</v>
      </c>
      <c r="U60" s="108">
        <f t="shared" si="37"/>
        <v>9</v>
      </c>
      <c r="V60" s="108">
        <f t="shared" si="37"/>
        <v>9</v>
      </c>
      <c r="W60" s="108">
        <f t="shared" si="37"/>
        <v>9</v>
      </c>
      <c r="X60" s="108">
        <f t="shared" si="37"/>
        <v>8</v>
      </c>
      <c r="Y60" s="108">
        <f t="shared" si="37"/>
        <v>8</v>
      </c>
      <c r="Z60" s="108">
        <f t="shared" si="37"/>
        <v>8</v>
      </c>
      <c r="AA60" s="108">
        <f t="shared" si="37"/>
        <v>8</v>
      </c>
      <c r="AB60" s="108">
        <f t="shared" si="37"/>
        <v>7</v>
      </c>
      <c r="AC60" s="108">
        <f t="shared" si="37"/>
        <v>3</v>
      </c>
    </row>
    <row r="61" spans="1:46" ht="12" x14ac:dyDescent="0.2">
      <c r="A61" s="107" t="s">
        <v>163</v>
      </c>
      <c r="B61" s="108">
        <f t="shared" si="36"/>
        <v>4</v>
      </c>
      <c r="C61" s="108">
        <f t="shared" si="36"/>
        <v>4</v>
      </c>
      <c r="D61" s="108">
        <f t="shared" si="36"/>
        <v>4</v>
      </c>
      <c r="E61" s="108">
        <f t="shared" si="36"/>
        <v>4</v>
      </c>
      <c r="F61" s="108">
        <f t="shared" si="36"/>
        <v>4</v>
      </c>
      <c r="G61" s="108">
        <f t="shared" si="36"/>
        <v>4</v>
      </c>
      <c r="H61" s="108">
        <f t="shared" si="36"/>
        <v>6</v>
      </c>
      <c r="I61" s="108">
        <f t="shared" si="36"/>
        <v>6</v>
      </c>
      <c r="J61" s="108">
        <f t="shared" si="34"/>
        <v>7</v>
      </c>
      <c r="K61" s="108">
        <f t="shared" si="34"/>
        <v>8</v>
      </c>
      <c r="L61" s="108">
        <f t="shared" ref="L61:AC61" si="38">ROUND(IF(L$13="Deploy",MAX((L$78/100)*$B95,$B95),(L$78/100)*$B95),0)</f>
        <v>9</v>
      </c>
      <c r="M61" s="108">
        <f t="shared" si="38"/>
        <v>10</v>
      </c>
      <c r="N61" s="108">
        <f t="shared" si="38"/>
        <v>10</v>
      </c>
      <c r="O61" s="108">
        <f t="shared" si="38"/>
        <v>10</v>
      </c>
      <c r="P61" s="108">
        <f t="shared" si="38"/>
        <v>10</v>
      </c>
      <c r="Q61" s="108">
        <f t="shared" si="38"/>
        <v>10</v>
      </c>
      <c r="R61" s="108">
        <f t="shared" si="38"/>
        <v>12</v>
      </c>
      <c r="S61" s="108">
        <f t="shared" si="38"/>
        <v>12</v>
      </c>
      <c r="T61" s="108">
        <f t="shared" si="38"/>
        <v>12</v>
      </c>
      <c r="U61" s="108">
        <f t="shared" si="38"/>
        <v>12</v>
      </c>
      <c r="V61" s="108">
        <f t="shared" si="38"/>
        <v>12</v>
      </c>
      <c r="W61" s="108">
        <f t="shared" si="38"/>
        <v>12</v>
      </c>
      <c r="X61" s="108">
        <f t="shared" si="38"/>
        <v>11</v>
      </c>
      <c r="Y61" s="108">
        <f t="shared" si="38"/>
        <v>11</v>
      </c>
      <c r="Z61" s="108">
        <f t="shared" si="38"/>
        <v>10</v>
      </c>
      <c r="AA61" s="108">
        <f t="shared" si="38"/>
        <v>10</v>
      </c>
      <c r="AB61" s="108">
        <f t="shared" si="38"/>
        <v>10</v>
      </c>
      <c r="AC61" s="108">
        <f t="shared" si="38"/>
        <v>4</v>
      </c>
    </row>
    <row r="62" spans="1:46" ht="12" x14ac:dyDescent="0.2">
      <c r="A62" s="107" t="str">
        <f>A96</f>
        <v># Skilled Crews</v>
      </c>
      <c r="B62" s="108">
        <f t="shared" si="36"/>
        <v>2</v>
      </c>
      <c r="C62" s="108">
        <f t="shared" si="36"/>
        <v>2</v>
      </c>
      <c r="D62" s="108">
        <f t="shared" si="36"/>
        <v>2</v>
      </c>
      <c r="E62" s="108">
        <f t="shared" si="36"/>
        <v>2</v>
      </c>
      <c r="F62" s="108">
        <f t="shared" si="36"/>
        <v>2</v>
      </c>
      <c r="G62" s="108">
        <f t="shared" si="36"/>
        <v>2</v>
      </c>
      <c r="H62" s="108">
        <f t="shared" si="36"/>
        <v>2</v>
      </c>
      <c r="I62" s="108">
        <f t="shared" si="36"/>
        <v>3</v>
      </c>
      <c r="J62" s="108">
        <f t="shared" si="34"/>
        <v>3</v>
      </c>
      <c r="K62" s="108">
        <f t="shared" si="34"/>
        <v>3</v>
      </c>
      <c r="L62" s="108">
        <f t="shared" ref="L62:AC62" si="39">ROUND(IF(L$13="Deploy",MAX((L$78/100)*$B96,$B96),(L$78/100)*$B96),0)</f>
        <v>4</v>
      </c>
      <c r="M62" s="108">
        <f t="shared" si="39"/>
        <v>4</v>
      </c>
      <c r="N62" s="108">
        <f t="shared" si="39"/>
        <v>4</v>
      </c>
      <c r="O62" s="108">
        <f t="shared" si="39"/>
        <v>4</v>
      </c>
      <c r="P62" s="108">
        <f t="shared" si="39"/>
        <v>4</v>
      </c>
      <c r="Q62" s="108">
        <f t="shared" si="39"/>
        <v>4</v>
      </c>
      <c r="R62" s="108">
        <f t="shared" si="39"/>
        <v>5</v>
      </c>
      <c r="S62" s="108">
        <f t="shared" si="39"/>
        <v>5</v>
      </c>
      <c r="T62" s="108">
        <f t="shared" si="39"/>
        <v>5</v>
      </c>
      <c r="U62" s="108">
        <f t="shared" si="39"/>
        <v>5</v>
      </c>
      <c r="V62" s="108">
        <f t="shared" si="39"/>
        <v>5</v>
      </c>
      <c r="W62" s="108">
        <f t="shared" si="39"/>
        <v>5</v>
      </c>
      <c r="X62" s="108">
        <f t="shared" si="39"/>
        <v>5</v>
      </c>
      <c r="Y62" s="108">
        <f t="shared" si="39"/>
        <v>5</v>
      </c>
      <c r="Z62" s="108">
        <f t="shared" si="39"/>
        <v>4</v>
      </c>
      <c r="AA62" s="108">
        <f t="shared" si="39"/>
        <v>4</v>
      </c>
      <c r="AB62" s="108">
        <f t="shared" si="39"/>
        <v>4</v>
      </c>
      <c r="AC62" s="108">
        <f t="shared" si="39"/>
        <v>2</v>
      </c>
    </row>
    <row r="63" spans="1:46" s="298" customFormat="1" ht="12.75" x14ac:dyDescent="0.2">
      <c r="A63" s="290" t="s">
        <v>141</v>
      </c>
      <c r="B63" s="291"/>
      <c r="C63" s="292"/>
      <c r="D63" s="292"/>
      <c r="E63" s="292"/>
      <c r="F63" s="292"/>
      <c r="G63" s="293"/>
      <c r="H63" s="293"/>
      <c r="I63" s="293"/>
      <c r="J63" s="293"/>
      <c r="K63" s="293"/>
      <c r="L63" s="293"/>
      <c r="M63" s="293"/>
      <c r="N63" s="293"/>
      <c r="O63" s="293"/>
      <c r="P63" s="294"/>
      <c r="Q63" s="294"/>
      <c r="R63" s="295"/>
      <c r="S63" s="295"/>
      <c r="T63" s="295"/>
      <c r="U63" s="295"/>
      <c r="V63" s="295"/>
      <c r="W63" s="295"/>
      <c r="X63" s="295"/>
      <c r="Y63" s="295"/>
      <c r="Z63" s="295"/>
      <c r="AA63" s="295"/>
      <c r="AB63" s="295"/>
      <c r="AC63" s="296"/>
      <c r="AD63" s="297"/>
      <c r="AE63" s="297"/>
      <c r="AF63" s="297"/>
      <c r="AG63" s="297"/>
      <c r="AH63" s="297"/>
      <c r="AI63" s="297"/>
      <c r="AJ63" s="297"/>
      <c r="AK63" s="297"/>
      <c r="AL63" s="297"/>
      <c r="AM63" s="297"/>
      <c r="AN63" s="297"/>
      <c r="AO63" s="297"/>
      <c r="AP63" s="297"/>
      <c r="AQ63" s="297"/>
      <c r="AR63" s="297"/>
      <c r="AS63" s="297"/>
      <c r="AT63" s="297"/>
    </row>
    <row r="64" spans="1:46" s="300" customFormat="1" ht="12" x14ac:dyDescent="0.2">
      <c r="A64" s="2" t="s">
        <v>142</v>
      </c>
      <c r="B64" s="299">
        <v>0.95</v>
      </c>
      <c r="C64" s="299">
        <v>0.95</v>
      </c>
      <c r="D64" s="299">
        <v>0.95</v>
      </c>
      <c r="E64" s="299">
        <v>0.95</v>
      </c>
      <c r="F64" s="299">
        <v>0.95</v>
      </c>
      <c r="G64" s="299">
        <v>0.95</v>
      </c>
      <c r="H64" s="299">
        <v>0.95</v>
      </c>
      <c r="I64" s="299">
        <v>0.95</v>
      </c>
      <c r="J64" s="299">
        <v>0.95</v>
      </c>
      <c r="K64" s="299">
        <v>0.95</v>
      </c>
      <c r="L64" s="299">
        <v>0.95</v>
      </c>
      <c r="M64" s="299">
        <v>0.95</v>
      </c>
      <c r="N64" s="299">
        <v>0.95</v>
      </c>
      <c r="O64" s="299">
        <v>0.95</v>
      </c>
      <c r="P64" s="299">
        <v>0.95</v>
      </c>
      <c r="Q64" s="299">
        <v>0.95</v>
      </c>
      <c r="R64" s="299">
        <v>0.95</v>
      </c>
      <c r="S64" s="299">
        <v>0.95</v>
      </c>
      <c r="T64" s="299">
        <v>0.95</v>
      </c>
      <c r="U64" s="299">
        <v>0.95</v>
      </c>
      <c r="V64" s="299">
        <v>0.95</v>
      </c>
      <c r="W64" s="299">
        <v>0.95</v>
      </c>
      <c r="X64" s="299">
        <v>0.95</v>
      </c>
      <c r="Y64" s="299">
        <v>0.95</v>
      </c>
      <c r="Z64" s="299">
        <v>0.95</v>
      </c>
      <c r="AA64" s="299">
        <v>0.95</v>
      </c>
      <c r="AB64" s="299">
        <v>0.95</v>
      </c>
      <c r="AC64" s="299">
        <v>0.95</v>
      </c>
    </row>
    <row r="65" spans="1:46" s="298" customFormat="1" ht="12" x14ac:dyDescent="0.2">
      <c r="A65" s="2" t="s">
        <v>143</v>
      </c>
      <c r="B65" s="301">
        <v>0.92</v>
      </c>
      <c r="C65" s="301">
        <v>0.92</v>
      </c>
      <c r="D65" s="301">
        <v>0.92</v>
      </c>
      <c r="E65" s="301">
        <v>0.92</v>
      </c>
      <c r="F65" s="301">
        <v>0.92</v>
      </c>
      <c r="G65" s="301">
        <v>0.92</v>
      </c>
      <c r="H65" s="301">
        <v>0.92</v>
      </c>
      <c r="I65" s="301">
        <v>0.92</v>
      </c>
      <c r="J65" s="301">
        <v>0.92</v>
      </c>
      <c r="K65" s="301">
        <v>0.92</v>
      </c>
      <c r="L65" s="301">
        <v>0.92</v>
      </c>
      <c r="M65" s="301">
        <v>0.92</v>
      </c>
      <c r="N65" s="301">
        <v>0.92</v>
      </c>
      <c r="O65" s="301">
        <v>0.92</v>
      </c>
      <c r="P65" s="301">
        <v>0.92</v>
      </c>
      <c r="Q65" s="301">
        <v>0.92</v>
      </c>
      <c r="R65" s="301">
        <v>0.92</v>
      </c>
      <c r="S65" s="301">
        <v>0.92</v>
      </c>
      <c r="T65" s="301">
        <v>0.92</v>
      </c>
      <c r="U65" s="301">
        <v>0.92</v>
      </c>
      <c r="V65" s="301">
        <v>0.92</v>
      </c>
      <c r="W65" s="301">
        <v>0.92</v>
      </c>
      <c r="X65" s="301">
        <v>0.92</v>
      </c>
      <c r="Y65" s="301">
        <v>0.92</v>
      </c>
      <c r="Z65" s="301">
        <v>0.92</v>
      </c>
      <c r="AA65" s="301">
        <v>0.92</v>
      </c>
      <c r="AB65" s="301">
        <v>0.92</v>
      </c>
      <c r="AC65" s="301">
        <v>0.92</v>
      </c>
      <c r="AD65" s="297"/>
      <c r="AE65" s="297"/>
      <c r="AF65" s="297"/>
      <c r="AG65" s="297"/>
      <c r="AH65" s="297"/>
      <c r="AI65" s="297"/>
      <c r="AJ65" s="297"/>
      <c r="AK65" s="297"/>
      <c r="AL65" s="297"/>
      <c r="AM65" s="297"/>
      <c r="AN65" s="297"/>
      <c r="AO65" s="297"/>
      <c r="AP65" s="297"/>
      <c r="AQ65" s="297"/>
      <c r="AR65" s="297"/>
      <c r="AS65" s="297"/>
      <c r="AT65" s="297"/>
    </row>
    <row r="66" spans="1:46" s="298" customFormat="1" ht="12" x14ac:dyDescent="0.2">
      <c r="A66" s="2" t="s">
        <v>144</v>
      </c>
      <c r="B66" s="301">
        <v>0.75</v>
      </c>
      <c r="C66" s="301">
        <v>0.75</v>
      </c>
      <c r="D66" s="301">
        <v>0.75</v>
      </c>
      <c r="E66" s="301">
        <v>0.75</v>
      </c>
      <c r="F66" s="301">
        <v>0.75</v>
      </c>
      <c r="G66" s="301">
        <v>0.75</v>
      </c>
      <c r="H66" s="301">
        <v>0.75</v>
      </c>
      <c r="I66" s="301">
        <v>0.75</v>
      </c>
      <c r="J66" s="301">
        <v>0.75</v>
      </c>
      <c r="K66" s="301">
        <v>0.75</v>
      </c>
      <c r="L66" s="301">
        <v>0.75</v>
      </c>
      <c r="M66" s="301">
        <v>0.75</v>
      </c>
      <c r="N66" s="301">
        <v>0.75</v>
      </c>
      <c r="O66" s="301">
        <v>0.75</v>
      </c>
      <c r="P66" s="301">
        <v>0.75</v>
      </c>
      <c r="Q66" s="301">
        <v>0.75</v>
      </c>
      <c r="R66" s="301">
        <v>0.75</v>
      </c>
      <c r="S66" s="301">
        <v>0.75</v>
      </c>
      <c r="T66" s="301">
        <v>0.75</v>
      </c>
      <c r="U66" s="301">
        <v>0.75</v>
      </c>
      <c r="V66" s="301">
        <v>0.75</v>
      </c>
      <c r="W66" s="301">
        <v>0.75</v>
      </c>
      <c r="X66" s="301">
        <v>0.75</v>
      </c>
      <c r="Y66" s="301">
        <v>0.75</v>
      </c>
      <c r="Z66" s="301">
        <v>0.75</v>
      </c>
      <c r="AA66" s="301">
        <v>0.75</v>
      </c>
      <c r="AB66" s="301">
        <v>0.75</v>
      </c>
      <c r="AC66" s="301">
        <v>0.75</v>
      </c>
      <c r="AD66" s="297"/>
      <c r="AE66" s="297"/>
      <c r="AF66" s="297"/>
      <c r="AG66" s="297"/>
      <c r="AH66" s="297"/>
      <c r="AI66" s="297"/>
      <c r="AJ66" s="297"/>
      <c r="AK66" s="297"/>
      <c r="AL66" s="297"/>
      <c r="AM66" s="297"/>
      <c r="AN66" s="297"/>
      <c r="AO66" s="297"/>
      <c r="AP66" s="297"/>
      <c r="AQ66" s="297"/>
      <c r="AR66" s="297"/>
      <c r="AS66" s="297"/>
      <c r="AT66" s="297"/>
    </row>
    <row r="68" spans="1:46" ht="12" x14ac:dyDescent="0.2">
      <c r="A68" s="111"/>
      <c r="B68" s="69"/>
      <c r="C68" s="69"/>
      <c r="D68" s="113"/>
      <c r="E68" s="113"/>
      <c r="F68" s="113"/>
      <c r="G68" s="113"/>
      <c r="H68" s="113"/>
      <c r="I68" s="113"/>
      <c r="J68" s="113"/>
      <c r="K68" s="113"/>
      <c r="L68" s="113"/>
      <c r="M68" s="113"/>
      <c r="N68" s="113"/>
      <c r="O68" s="113"/>
      <c r="P68" s="113"/>
      <c r="Q68" s="113"/>
      <c r="R68" s="113"/>
      <c r="S68" s="113"/>
      <c r="T68" s="113"/>
      <c r="U68" s="113"/>
      <c r="V68" s="113"/>
      <c r="W68" s="113"/>
      <c r="X68" s="113"/>
      <c r="Y68" s="113"/>
      <c r="Z68" s="113"/>
      <c r="AA68" s="113"/>
      <c r="AB68" s="113"/>
      <c r="AC68" s="113"/>
    </row>
    <row r="69" spans="1:46" ht="12" x14ac:dyDescent="0.2">
      <c r="A69" s="111"/>
      <c r="B69" s="69"/>
      <c r="C69" s="69"/>
      <c r="D69" s="113"/>
      <c r="E69" s="113"/>
      <c r="F69" s="113"/>
      <c r="G69" s="113"/>
      <c r="H69" s="113"/>
      <c r="I69" s="113"/>
      <c r="J69" s="113"/>
      <c r="K69" s="113"/>
      <c r="L69" s="113"/>
      <c r="M69" s="113"/>
      <c r="N69" s="113"/>
      <c r="O69" s="113"/>
      <c r="P69" s="113"/>
      <c r="Q69" s="113"/>
      <c r="R69" s="113"/>
      <c r="S69" s="113"/>
      <c r="T69" s="113"/>
      <c r="U69" s="113"/>
      <c r="V69" s="113"/>
      <c r="W69" s="113"/>
      <c r="X69" s="113"/>
      <c r="Y69" s="113"/>
      <c r="Z69" s="113"/>
      <c r="AA69" s="113"/>
      <c r="AB69" s="113"/>
      <c r="AC69" s="113"/>
    </row>
    <row r="70" spans="1:46" ht="12" x14ac:dyDescent="0.2">
      <c r="A70" s="111"/>
      <c r="B70" s="69"/>
      <c r="C70" s="69"/>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row>
    <row r="71" spans="1:46" ht="12.75" thickBot="1" x14ac:dyDescent="0.25">
      <c r="A71" s="114"/>
      <c r="B71" s="113"/>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E71" s="117"/>
      <c r="AF71" s="118"/>
    </row>
    <row r="72" spans="1:46" ht="13.5" thickBot="1" x14ac:dyDescent="0.25">
      <c r="A72" s="472" t="s">
        <v>145</v>
      </c>
      <c r="B72" s="473"/>
      <c r="C72" s="473"/>
      <c r="D72" s="473"/>
      <c r="E72" s="473"/>
      <c r="F72" s="473"/>
      <c r="G72" s="473"/>
      <c r="H72" s="473"/>
      <c r="I72" s="473"/>
      <c r="J72" s="473"/>
      <c r="K72" s="473"/>
      <c r="L72" s="473"/>
      <c r="M72" s="473"/>
      <c r="N72" s="473"/>
      <c r="O72" s="473"/>
      <c r="P72" s="473"/>
      <c r="Q72" s="473"/>
      <c r="R72" s="473"/>
      <c r="S72" s="473"/>
      <c r="T72" s="473"/>
      <c r="U72" s="473"/>
      <c r="V72" s="473"/>
      <c r="W72" s="473"/>
      <c r="X72" s="473"/>
      <c r="Y72" s="473"/>
      <c r="Z72" s="473"/>
      <c r="AA72" s="473"/>
      <c r="AB72" s="473"/>
      <c r="AC72" s="474"/>
      <c r="AE72" s="86"/>
      <c r="AF72" s="86"/>
    </row>
    <row r="73" spans="1:46" ht="12" x14ac:dyDescent="0.2">
      <c r="A73" s="119" t="s">
        <v>146</v>
      </c>
      <c r="B73" s="120">
        <f>MIN(100,B75+$B$79)</f>
        <v>45.303509080419353</v>
      </c>
      <c r="C73" s="120">
        <f t="shared" ref="C73:AB73" si="40">MIN(100,C75+$B$79)</f>
        <v>45.303509080419353</v>
      </c>
      <c r="D73" s="120">
        <f t="shared" si="40"/>
        <v>45.303509080419353</v>
      </c>
      <c r="E73" s="120">
        <f t="shared" si="40"/>
        <v>45.303509080419353</v>
      </c>
      <c r="F73" s="120">
        <f t="shared" si="40"/>
        <v>45.303509080419353</v>
      </c>
      <c r="G73" s="120">
        <f t="shared" si="40"/>
        <v>53.303509080419353</v>
      </c>
      <c r="H73" s="120">
        <f t="shared" si="40"/>
        <v>55.303509080419353</v>
      </c>
      <c r="I73" s="120">
        <f t="shared" si="40"/>
        <v>55.303509080419353</v>
      </c>
      <c r="J73" s="120">
        <f t="shared" si="40"/>
        <v>65.30350908041936</v>
      </c>
      <c r="K73" s="120">
        <f t="shared" si="40"/>
        <v>90.30350908041936</v>
      </c>
      <c r="L73" s="120">
        <f t="shared" si="40"/>
        <v>100</v>
      </c>
      <c r="M73" s="120">
        <f t="shared" si="40"/>
        <v>100</v>
      </c>
      <c r="N73" s="120">
        <f t="shared" si="40"/>
        <v>100</v>
      </c>
      <c r="O73" s="120">
        <f t="shared" si="40"/>
        <v>100</v>
      </c>
      <c r="P73" s="120">
        <f t="shared" si="40"/>
        <v>100</v>
      </c>
      <c r="Q73" s="120">
        <f t="shared" si="40"/>
        <v>100</v>
      </c>
      <c r="R73" s="120">
        <f t="shared" si="40"/>
        <v>100</v>
      </c>
      <c r="S73" s="120">
        <f t="shared" si="40"/>
        <v>100</v>
      </c>
      <c r="T73" s="120">
        <f t="shared" si="40"/>
        <v>100</v>
      </c>
      <c r="U73" s="120">
        <f t="shared" si="40"/>
        <v>100</v>
      </c>
      <c r="V73" s="120">
        <f t="shared" si="40"/>
        <v>100</v>
      </c>
      <c r="W73" s="120">
        <f t="shared" si="40"/>
        <v>100</v>
      </c>
      <c r="X73" s="120">
        <f t="shared" si="40"/>
        <v>100</v>
      </c>
      <c r="Y73" s="120">
        <f t="shared" si="40"/>
        <v>100</v>
      </c>
      <c r="Z73" s="120">
        <f t="shared" si="40"/>
        <v>100</v>
      </c>
      <c r="AA73" s="120">
        <f t="shared" si="40"/>
        <v>100</v>
      </c>
      <c r="AB73" s="121">
        <f t="shared" si="40"/>
        <v>95.30350908041936</v>
      </c>
      <c r="AC73" s="35">
        <f>MIN(100,AC75+$B$79)</f>
        <v>45.303509080419353</v>
      </c>
      <c r="AE73" s="86"/>
      <c r="AF73" s="86"/>
    </row>
    <row r="74" spans="1:46" ht="12" x14ac:dyDescent="0.2">
      <c r="A74" s="122" t="s">
        <v>147</v>
      </c>
      <c r="B74" s="123">
        <f>MIN(100,B75+$B$80)</f>
        <v>27.651754540209676</v>
      </c>
      <c r="C74" s="123">
        <f t="shared" ref="C74:AB74" si="41">MIN(100,C75+$B$80)</f>
        <v>27.651754540209676</v>
      </c>
      <c r="D74" s="123">
        <f t="shared" si="41"/>
        <v>27.651754540209676</v>
      </c>
      <c r="E74" s="123">
        <f t="shared" si="41"/>
        <v>27.651754540209676</v>
      </c>
      <c r="F74" s="123">
        <f t="shared" si="41"/>
        <v>27.651754540209676</v>
      </c>
      <c r="G74" s="123">
        <f t="shared" si="41"/>
        <v>35.65175454020968</v>
      </c>
      <c r="H74" s="123">
        <f t="shared" si="41"/>
        <v>37.65175454020968</v>
      </c>
      <c r="I74" s="123">
        <f t="shared" si="41"/>
        <v>37.65175454020968</v>
      </c>
      <c r="J74" s="123">
        <f t="shared" si="41"/>
        <v>47.65175454020968</v>
      </c>
      <c r="K74" s="123">
        <f t="shared" si="41"/>
        <v>72.65175454020968</v>
      </c>
      <c r="L74" s="123">
        <f t="shared" si="41"/>
        <v>97.65175454020968</v>
      </c>
      <c r="M74" s="123">
        <f t="shared" si="41"/>
        <v>100</v>
      </c>
      <c r="N74" s="123">
        <f t="shared" si="41"/>
        <v>100</v>
      </c>
      <c r="O74" s="123">
        <f t="shared" si="41"/>
        <v>100</v>
      </c>
      <c r="P74" s="123">
        <f t="shared" si="41"/>
        <v>100</v>
      </c>
      <c r="Q74" s="123">
        <f t="shared" si="41"/>
        <v>100</v>
      </c>
      <c r="R74" s="123">
        <f t="shared" si="41"/>
        <v>100</v>
      </c>
      <c r="S74" s="123">
        <f t="shared" si="41"/>
        <v>100</v>
      </c>
      <c r="T74" s="123">
        <f t="shared" si="41"/>
        <v>100</v>
      </c>
      <c r="U74" s="123">
        <f t="shared" si="41"/>
        <v>100</v>
      </c>
      <c r="V74" s="123">
        <f t="shared" si="41"/>
        <v>100</v>
      </c>
      <c r="W74" s="123">
        <f t="shared" si="41"/>
        <v>100</v>
      </c>
      <c r="X74" s="123">
        <f t="shared" si="41"/>
        <v>100</v>
      </c>
      <c r="Y74" s="123">
        <f t="shared" si="41"/>
        <v>100</v>
      </c>
      <c r="Z74" s="123">
        <f t="shared" si="41"/>
        <v>100</v>
      </c>
      <c r="AA74" s="123">
        <f t="shared" si="41"/>
        <v>96.65175454020968</v>
      </c>
      <c r="AB74" s="124">
        <f t="shared" si="41"/>
        <v>77.65175454020968</v>
      </c>
      <c r="AC74" s="32">
        <f>MIN(100,AC75+$B$80)</f>
        <v>27.651754540209676</v>
      </c>
      <c r="AE74" s="86"/>
      <c r="AF74" s="86"/>
    </row>
    <row r="75" spans="1:46" ht="12" x14ac:dyDescent="0.2">
      <c r="A75" s="179" t="s">
        <v>148</v>
      </c>
      <c r="B75" s="125">
        <v>10</v>
      </c>
      <c r="C75" s="125">
        <v>10</v>
      </c>
      <c r="D75" s="125">
        <v>10</v>
      </c>
      <c r="E75" s="125">
        <v>10</v>
      </c>
      <c r="F75" s="125">
        <v>10</v>
      </c>
      <c r="G75" s="125">
        <v>18</v>
      </c>
      <c r="H75" s="125">
        <v>20</v>
      </c>
      <c r="I75" s="125">
        <v>20</v>
      </c>
      <c r="J75" s="125">
        <v>30</v>
      </c>
      <c r="K75" s="125">
        <v>55</v>
      </c>
      <c r="L75" s="125">
        <v>80</v>
      </c>
      <c r="M75" s="125">
        <v>85</v>
      </c>
      <c r="N75" s="125">
        <v>85</v>
      </c>
      <c r="O75" s="125">
        <v>85</v>
      </c>
      <c r="P75" s="125">
        <v>85</v>
      </c>
      <c r="Q75" s="125">
        <v>85</v>
      </c>
      <c r="R75" s="125">
        <v>100</v>
      </c>
      <c r="S75" s="125">
        <v>100</v>
      </c>
      <c r="T75" s="125">
        <v>100</v>
      </c>
      <c r="U75" s="125">
        <v>100</v>
      </c>
      <c r="V75" s="125">
        <v>100</v>
      </c>
      <c r="W75" s="125">
        <v>100</v>
      </c>
      <c r="X75" s="125">
        <v>89</v>
      </c>
      <c r="Y75" s="125">
        <v>84</v>
      </c>
      <c r="Z75" s="125">
        <v>83.666666666666671</v>
      </c>
      <c r="AA75" s="125">
        <v>79</v>
      </c>
      <c r="AB75" s="126">
        <v>60</v>
      </c>
      <c r="AC75" s="33">
        <v>10</v>
      </c>
      <c r="AE75" s="86"/>
      <c r="AF75" s="86"/>
    </row>
    <row r="76" spans="1:46" ht="12" x14ac:dyDescent="0.2">
      <c r="A76" s="122" t="s">
        <v>149</v>
      </c>
      <c r="B76" s="123">
        <f t="shared" ref="B76:AB76" si="42">MIN(80,IF(B13="Deploy",80,MAX(0,B75-$B$80)))</f>
        <v>0</v>
      </c>
      <c r="C76" s="123">
        <f t="shared" si="42"/>
        <v>0</v>
      </c>
      <c r="D76" s="123">
        <f t="shared" si="42"/>
        <v>0</v>
      </c>
      <c r="E76" s="123">
        <f t="shared" si="42"/>
        <v>0</v>
      </c>
      <c r="F76" s="123">
        <f t="shared" si="42"/>
        <v>0</v>
      </c>
      <c r="G76" s="123">
        <f t="shared" si="42"/>
        <v>0.34824545979032351</v>
      </c>
      <c r="H76" s="123">
        <f t="shared" si="42"/>
        <v>2.3482454597903235</v>
      </c>
      <c r="I76" s="123">
        <f t="shared" si="42"/>
        <v>2.3482454597903235</v>
      </c>
      <c r="J76" s="123">
        <f t="shared" si="42"/>
        <v>12.348245459790324</v>
      </c>
      <c r="K76" s="123">
        <f t="shared" si="42"/>
        <v>37.34824545979032</v>
      </c>
      <c r="L76" s="123">
        <f t="shared" si="42"/>
        <v>62.34824545979032</v>
      </c>
      <c r="M76" s="123">
        <f t="shared" si="42"/>
        <v>67.34824545979032</v>
      </c>
      <c r="N76" s="123">
        <f t="shared" si="42"/>
        <v>67.34824545979032</v>
      </c>
      <c r="O76" s="123">
        <f t="shared" si="42"/>
        <v>67.34824545979032</v>
      </c>
      <c r="P76" s="123">
        <f t="shared" si="42"/>
        <v>67.34824545979032</v>
      </c>
      <c r="Q76" s="123">
        <f t="shared" si="42"/>
        <v>67.34824545979032</v>
      </c>
      <c r="R76" s="123">
        <f t="shared" si="42"/>
        <v>80</v>
      </c>
      <c r="S76" s="123">
        <f t="shared" si="42"/>
        <v>80</v>
      </c>
      <c r="T76" s="123">
        <f t="shared" si="42"/>
        <v>80</v>
      </c>
      <c r="U76" s="123">
        <f t="shared" si="42"/>
        <v>80</v>
      </c>
      <c r="V76" s="123">
        <f t="shared" si="42"/>
        <v>80</v>
      </c>
      <c r="W76" s="123">
        <f t="shared" si="42"/>
        <v>80</v>
      </c>
      <c r="X76" s="123">
        <f t="shared" si="42"/>
        <v>71.34824545979032</v>
      </c>
      <c r="Y76" s="123">
        <f t="shared" si="42"/>
        <v>66.34824545979032</v>
      </c>
      <c r="Z76" s="123">
        <f t="shared" si="42"/>
        <v>66.014912126456991</v>
      </c>
      <c r="AA76" s="123">
        <f t="shared" si="42"/>
        <v>61.34824545979032</v>
      </c>
      <c r="AB76" s="124">
        <f t="shared" si="42"/>
        <v>42.34824545979032</v>
      </c>
      <c r="AC76" s="32">
        <f>MIN(80,IF(AC5="Deploy",80,MAX(0,AC75-$B$80)))</f>
        <v>0</v>
      </c>
      <c r="AE76" s="86"/>
      <c r="AF76" s="86"/>
    </row>
    <row r="77" spans="1:46" ht="12.75" thickBot="1" x14ac:dyDescent="0.25">
      <c r="A77" s="127" t="s">
        <v>150</v>
      </c>
      <c r="B77" s="128">
        <f t="shared" ref="B77:AB77" si="43">MIN(60,IF(B13="Deploy",60,MAX(0,B75-$B$79)))</f>
        <v>0</v>
      </c>
      <c r="C77" s="129">
        <f t="shared" si="43"/>
        <v>0</v>
      </c>
      <c r="D77" s="129">
        <f t="shared" si="43"/>
        <v>0</v>
      </c>
      <c r="E77" s="129">
        <f t="shared" si="43"/>
        <v>0</v>
      </c>
      <c r="F77" s="129">
        <f t="shared" si="43"/>
        <v>0</v>
      </c>
      <c r="G77" s="129">
        <f t="shared" si="43"/>
        <v>0</v>
      </c>
      <c r="H77" s="129">
        <f t="shared" si="43"/>
        <v>0</v>
      </c>
      <c r="I77" s="129">
        <f t="shared" si="43"/>
        <v>0</v>
      </c>
      <c r="J77" s="129">
        <f t="shared" si="43"/>
        <v>0</v>
      </c>
      <c r="K77" s="129">
        <f t="shared" si="43"/>
        <v>19.696490919580647</v>
      </c>
      <c r="L77" s="129">
        <f t="shared" si="43"/>
        <v>44.696490919580647</v>
      </c>
      <c r="M77" s="129">
        <f t="shared" si="43"/>
        <v>49.696490919580647</v>
      </c>
      <c r="N77" s="129">
        <f t="shared" si="43"/>
        <v>49.696490919580647</v>
      </c>
      <c r="O77" s="129">
        <f t="shared" si="43"/>
        <v>49.696490919580647</v>
      </c>
      <c r="P77" s="129">
        <f t="shared" si="43"/>
        <v>49.696490919580647</v>
      </c>
      <c r="Q77" s="129">
        <f t="shared" si="43"/>
        <v>49.696490919580647</v>
      </c>
      <c r="R77" s="129">
        <f t="shared" si="43"/>
        <v>60</v>
      </c>
      <c r="S77" s="129">
        <f t="shared" si="43"/>
        <v>60</v>
      </c>
      <c r="T77" s="129">
        <f t="shared" si="43"/>
        <v>60</v>
      </c>
      <c r="U77" s="129">
        <f t="shared" si="43"/>
        <v>60</v>
      </c>
      <c r="V77" s="129">
        <f t="shared" si="43"/>
        <v>60</v>
      </c>
      <c r="W77" s="129">
        <f t="shared" si="43"/>
        <v>60</v>
      </c>
      <c r="X77" s="129">
        <f t="shared" si="43"/>
        <v>53.696490919580647</v>
      </c>
      <c r="Y77" s="129">
        <f t="shared" si="43"/>
        <v>48.696490919580647</v>
      </c>
      <c r="Z77" s="129">
        <f t="shared" si="43"/>
        <v>48.363157586247318</v>
      </c>
      <c r="AA77" s="129">
        <f t="shared" si="43"/>
        <v>43.696490919580647</v>
      </c>
      <c r="AB77" s="130">
        <f t="shared" si="43"/>
        <v>24.696490919580647</v>
      </c>
      <c r="AC77" s="34">
        <f>MIN(60,IF(AC6="Deploy",60,MAX(0,AC75-$B$79)))</f>
        <v>0</v>
      </c>
      <c r="AE77" s="86"/>
      <c r="AF77" s="86"/>
    </row>
    <row r="78" spans="1:46" s="15" customFormat="1" ht="12.75" thickBot="1" x14ac:dyDescent="0.25">
      <c r="A78" s="217" t="s">
        <v>151</v>
      </c>
      <c r="B78" s="218">
        <v>37</v>
      </c>
      <c r="C78" s="218">
        <v>37</v>
      </c>
      <c r="D78" s="218">
        <v>37</v>
      </c>
      <c r="E78" s="218">
        <v>37</v>
      </c>
      <c r="F78" s="218">
        <v>37</v>
      </c>
      <c r="G78" s="218">
        <v>37</v>
      </c>
      <c r="H78" s="218">
        <v>46</v>
      </c>
      <c r="I78" s="218">
        <v>54</v>
      </c>
      <c r="J78" s="218">
        <v>61</v>
      </c>
      <c r="K78" s="218">
        <v>63</v>
      </c>
      <c r="L78" s="218">
        <v>75</v>
      </c>
      <c r="M78" s="218">
        <v>85</v>
      </c>
      <c r="N78" s="218">
        <v>85</v>
      </c>
      <c r="O78" s="218">
        <v>85</v>
      </c>
      <c r="P78" s="218">
        <v>85</v>
      </c>
      <c r="Q78" s="218">
        <v>85</v>
      </c>
      <c r="R78" s="218">
        <v>100</v>
      </c>
      <c r="S78" s="218">
        <v>100</v>
      </c>
      <c r="T78" s="218">
        <v>100</v>
      </c>
      <c r="U78" s="218">
        <v>100</v>
      </c>
      <c r="V78" s="218">
        <v>100</v>
      </c>
      <c r="W78" s="218">
        <v>100</v>
      </c>
      <c r="X78" s="218">
        <v>94</v>
      </c>
      <c r="Y78" s="218">
        <v>91</v>
      </c>
      <c r="Z78" s="218">
        <v>85</v>
      </c>
      <c r="AA78" s="218">
        <v>84</v>
      </c>
      <c r="AB78" s="219">
        <v>81</v>
      </c>
      <c r="AC78" s="220">
        <v>37</v>
      </c>
    </row>
    <row r="79" spans="1:46" x14ac:dyDescent="0.2">
      <c r="A79" s="131" t="s">
        <v>152</v>
      </c>
      <c r="B79" s="132">
        <f t="array" ref="B79">SQRT(SUM(POWER(AVERAGE(B75:AB75)-(B75:AB75),2))/COUNT(B75:AB75))*1</f>
        <v>35.303509080419353</v>
      </c>
      <c r="AE79" s="86"/>
      <c r="AF79" s="86"/>
    </row>
    <row r="80" spans="1:46" ht="12" thickBot="1" x14ac:dyDescent="0.25">
      <c r="A80" s="133" t="s">
        <v>153</v>
      </c>
      <c r="B80" s="134">
        <f>B79/2</f>
        <v>17.651754540209676</v>
      </c>
      <c r="AE80" s="86"/>
      <c r="AF80" s="86"/>
    </row>
    <row r="81" spans="1:32" ht="12" thickBot="1" x14ac:dyDescent="0.25">
      <c r="AE81" s="86"/>
      <c r="AF81" s="86"/>
    </row>
    <row r="82" spans="1:32" ht="13.5" thickBot="1" x14ac:dyDescent="0.25">
      <c r="A82" s="498" t="s">
        <v>154</v>
      </c>
      <c r="B82" s="499"/>
      <c r="AE82" s="86"/>
      <c r="AF82" s="86"/>
    </row>
    <row r="83" spans="1:32" ht="12.75" thickBot="1" x14ac:dyDescent="0.25">
      <c r="A83" s="500" t="s">
        <v>155</v>
      </c>
      <c r="B83" s="501"/>
      <c r="AE83" s="86"/>
      <c r="AF83" s="86"/>
    </row>
    <row r="84" spans="1:32" ht="12.75" thickTop="1" x14ac:dyDescent="0.2">
      <c r="A84" s="135" t="s">
        <v>137</v>
      </c>
      <c r="B84" s="136">
        <v>10</v>
      </c>
      <c r="AE84" s="86"/>
      <c r="AF84" s="86"/>
    </row>
    <row r="85" spans="1:32" ht="12" x14ac:dyDescent="0.2">
      <c r="A85" s="137" t="s">
        <v>138</v>
      </c>
      <c r="B85" s="138">
        <v>8</v>
      </c>
      <c r="AE85" s="86"/>
      <c r="AF85" s="86"/>
    </row>
    <row r="86" spans="1:32" ht="12" x14ac:dyDescent="0.2">
      <c r="A86" s="135" t="s">
        <v>139</v>
      </c>
      <c r="B86" s="136">
        <v>15</v>
      </c>
      <c r="AE86" s="86"/>
      <c r="AF86" s="86"/>
    </row>
    <row r="87" spans="1:32" ht="12" x14ac:dyDescent="0.2">
      <c r="A87" s="137" t="s">
        <v>140</v>
      </c>
      <c r="B87" s="138">
        <v>12</v>
      </c>
      <c r="AE87" s="86"/>
      <c r="AF87" s="86"/>
    </row>
    <row r="88" spans="1:32" ht="12" x14ac:dyDescent="0.2">
      <c r="A88" s="139" t="s">
        <v>156</v>
      </c>
      <c r="B88" s="140">
        <v>1</v>
      </c>
      <c r="AE88" s="86"/>
      <c r="AF88" s="86"/>
    </row>
    <row r="89" spans="1:32" ht="12" x14ac:dyDescent="0.2">
      <c r="A89" s="141" t="s">
        <v>157</v>
      </c>
      <c r="B89" s="142">
        <v>4</v>
      </c>
      <c r="AE89" s="86"/>
      <c r="AF89" s="86"/>
    </row>
    <row r="90" spans="1:32" ht="12" x14ac:dyDescent="0.2">
      <c r="A90" s="141" t="s">
        <v>158</v>
      </c>
      <c r="B90" s="142">
        <v>5</v>
      </c>
      <c r="AE90" s="86"/>
      <c r="AF90" s="86"/>
    </row>
    <row r="91" spans="1:32" ht="12" x14ac:dyDescent="0.2">
      <c r="A91" s="141" t="s">
        <v>159</v>
      </c>
      <c r="B91" s="142">
        <v>8</v>
      </c>
      <c r="AB91" s="143"/>
      <c r="AC91" s="143"/>
      <c r="AE91" s="86"/>
      <c r="AF91" s="86"/>
    </row>
    <row r="92" spans="1:32" ht="12" x14ac:dyDescent="0.2">
      <c r="A92" s="141" t="s">
        <v>160</v>
      </c>
      <c r="B92" s="142">
        <v>3</v>
      </c>
      <c r="AB92" s="143"/>
      <c r="AC92" s="143"/>
      <c r="AD92" s="117"/>
    </row>
    <row r="93" spans="1:32" ht="12" x14ac:dyDescent="0.2">
      <c r="A93" s="141" t="s">
        <v>161</v>
      </c>
      <c r="B93" s="142">
        <v>6</v>
      </c>
      <c r="AB93" s="143"/>
      <c r="AC93" s="143"/>
      <c r="AD93" s="117"/>
      <c r="AE93" s="116"/>
      <c r="AF93" s="116"/>
    </row>
    <row r="94" spans="1:32" ht="12" x14ac:dyDescent="0.2">
      <c r="A94" s="141" t="s">
        <v>162</v>
      </c>
      <c r="B94" s="142">
        <v>9</v>
      </c>
      <c r="AB94" s="143"/>
      <c r="AC94" s="143"/>
      <c r="AD94" s="117"/>
    </row>
    <row r="95" spans="1:32" ht="12" x14ac:dyDescent="0.2">
      <c r="A95" s="141" t="s">
        <v>163</v>
      </c>
      <c r="B95" s="142">
        <v>12</v>
      </c>
      <c r="AB95" s="143"/>
      <c r="AC95" s="143"/>
      <c r="AD95" s="117"/>
    </row>
    <row r="96" spans="1:32" ht="12.75" thickBot="1" x14ac:dyDescent="0.25">
      <c r="A96" s="144" t="s">
        <v>165</v>
      </c>
      <c r="B96" s="145">
        <v>5</v>
      </c>
      <c r="AB96" s="143"/>
      <c r="AC96" s="143"/>
      <c r="AD96" s="117"/>
    </row>
    <row r="98" spans="1:37" ht="12" thickBot="1" x14ac:dyDescent="0.25"/>
    <row r="99" spans="1:37" s="15" customFormat="1" ht="13.5" thickBot="1" x14ac:dyDescent="0.25">
      <c r="A99" s="475" t="s">
        <v>166</v>
      </c>
      <c r="B99" s="476"/>
      <c r="AJ99" s="16"/>
      <c r="AK99" s="16"/>
    </row>
    <row r="100" spans="1:37" s="15" customFormat="1" ht="12" x14ac:dyDescent="0.2">
      <c r="A100" s="17" t="s">
        <v>167</v>
      </c>
      <c r="B100" s="18" t="s">
        <v>168</v>
      </c>
      <c r="C100" s="18" t="s">
        <v>168</v>
      </c>
      <c r="D100" s="18" t="s">
        <v>168</v>
      </c>
      <c r="E100" s="18"/>
      <c r="F100" s="18" t="s">
        <v>168</v>
      </c>
      <c r="G100" s="18" t="s">
        <v>168</v>
      </c>
      <c r="H100" s="18" t="s">
        <v>168</v>
      </c>
      <c r="I100" s="18" t="s">
        <v>168</v>
      </c>
      <c r="J100" s="18"/>
      <c r="K100" s="18"/>
      <c r="L100" s="18"/>
      <c r="M100" s="18"/>
      <c r="N100" s="18" t="s">
        <v>168</v>
      </c>
      <c r="O100" s="18" t="s">
        <v>168</v>
      </c>
      <c r="P100" s="18"/>
      <c r="Q100" s="18"/>
      <c r="R100" s="18"/>
      <c r="S100" s="18"/>
      <c r="T100" s="18"/>
      <c r="U100" s="18"/>
      <c r="V100" s="18"/>
      <c r="W100" s="18"/>
      <c r="X100" s="18"/>
      <c r="Y100" s="18" t="s">
        <v>168</v>
      </c>
      <c r="Z100" s="18" t="s">
        <v>168</v>
      </c>
      <c r="AA100" s="18" t="s">
        <v>168</v>
      </c>
      <c r="AB100" s="18" t="s">
        <v>168</v>
      </c>
      <c r="AC100" s="19" t="s">
        <v>168</v>
      </c>
    </row>
    <row r="101" spans="1:37" s="15" customFormat="1" ht="12.75" thickBot="1" x14ac:dyDescent="0.25">
      <c r="A101" s="20" t="s">
        <v>169</v>
      </c>
      <c r="B101" s="21"/>
      <c r="C101" s="21"/>
      <c r="D101" s="21"/>
      <c r="E101" s="21"/>
      <c r="F101" s="21"/>
      <c r="G101" s="21"/>
      <c r="H101" s="21"/>
      <c r="I101" s="21"/>
      <c r="J101" s="21" t="s">
        <v>168</v>
      </c>
      <c r="K101" s="21"/>
      <c r="L101" s="21" t="s">
        <v>168</v>
      </c>
      <c r="M101" s="21" t="s">
        <v>168</v>
      </c>
      <c r="N101" s="21"/>
      <c r="O101" s="21"/>
      <c r="P101" s="21" t="s">
        <v>168</v>
      </c>
      <c r="Q101" s="21"/>
      <c r="R101" s="21" t="s">
        <v>168</v>
      </c>
      <c r="S101" s="21" t="s">
        <v>168</v>
      </c>
      <c r="T101" s="21" t="s">
        <v>168</v>
      </c>
      <c r="U101" s="21" t="s">
        <v>168</v>
      </c>
      <c r="V101" s="21" t="s">
        <v>168</v>
      </c>
      <c r="W101" s="21" t="s">
        <v>168</v>
      </c>
      <c r="X101" s="21"/>
      <c r="Y101" s="21"/>
      <c r="Z101" s="21"/>
      <c r="AA101" s="21"/>
      <c r="AB101" s="21"/>
      <c r="AC101" s="22"/>
    </row>
    <row r="102" spans="1:37" s="211" customFormat="1" ht="12.75" thickBot="1" x14ac:dyDescent="0.25">
      <c r="A102" s="15"/>
      <c r="B102" s="15"/>
      <c r="C102" s="15"/>
      <c r="D102" s="15"/>
      <c r="E102" s="15"/>
      <c r="F102" s="15"/>
      <c r="G102" s="15"/>
      <c r="H102" s="15"/>
    </row>
    <row r="103" spans="1:37" s="211" customFormat="1" ht="12.75" x14ac:dyDescent="0.2">
      <c r="A103" s="212" t="s">
        <v>170</v>
      </c>
      <c r="B103" s="486" t="s">
        <v>171</v>
      </c>
      <c r="C103" s="486"/>
      <c r="D103" s="487" t="s">
        <v>172</v>
      </c>
      <c r="E103" s="487"/>
      <c r="F103" s="488" t="s">
        <v>173</v>
      </c>
      <c r="G103" s="489"/>
      <c r="H103" s="15"/>
      <c r="I103" s="394" t="s">
        <v>174</v>
      </c>
    </row>
    <row r="104" spans="1:37" s="211" customFormat="1" ht="12.75" x14ac:dyDescent="0.2">
      <c r="A104" s="213" t="s">
        <v>175</v>
      </c>
      <c r="B104" s="199"/>
      <c r="C104" s="199"/>
      <c r="D104" s="199"/>
      <c r="E104" s="199"/>
      <c r="F104" s="199"/>
      <c r="G104" s="200"/>
      <c r="H104" s="15"/>
      <c r="I104" s="62" t="s">
        <v>46</v>
      </c>
    </row>
    <row r="105" spans="1:37" s="211" customFormat="1" ht="12" x14ac:dyDescent="0.2">
      <c r="A105" s="201" t="s">
        <v>176</v>
      </c>
      <c r="B105" s="202">
        <v>4</v>
      </c>
      <c r="C105" s="202">
        <v>4</v>
      </c>
      <c r="D105" s="203">
        <f>C105-1</f>
        <v>3</v>
      </c>
      <c r="E105" s="203">
        <v>3</v>
      </c>
      <c r="F105" s="204">
        <f>E105-1</f>
        <v>2</v>
      </c>
      <c r="G105" s="214">
        <v>0</v>
      </c>
      <c r="H105" s="15"/>
    </row>
    <row r="106" spans="1:37" s="211" customFormat="1" ht="12" x14ac:dyDescent="0.2">
      <c r="A106" s="201" t="s">
        <v>177</v>
      </c>
      <c r="B106" s="202">
        <v>4</v>
      </c>
      <c r="C106" s="202">
        <v>3</v>
      </c>
      <c r="D106" s="203">
        <f>C106-1</f>
        <v>2</v>
      </c>
      <c r="E106" s="203">
        <v>2</v>
      </c>
      <c r="F106" s="204">
        <f>E106-1</f>
        <v>1</v>
      </c>
      <c r="G106" s="214">
        <v>0</v>
      </c>
      <c r="H106" s="15"/>
    </row>
    <row r="107" spans="1:37" s="211" customFormat="1" ht="12" x14ac:dyDescent="0.2">
      <c r="A107" s="213" t="s">
        <v>127</v>
      </c>
      <c r="B107" s="209"/>
      <c r="C107" s="210"/>
      <c r="D107" s="210"/>
      <c r="E107" s="210"/>
      <c r="F107" s="210"/>
      <c r="G107" s="216"/>
      <c r="H107" s="15"/>
    </row>
    <row r="108" spans="1:37" s="211" customFormat="1" ht="12" x14ac:dyDescent="0.2">
      <c r="A108" s="201" t="str">
        <f>A40</f>
        <v>Ready E-2C Electronic Warfare Mission Systems (E) (HE2K ONLY)</v>
      </c>
      <c r="B108" s="202">
        <v>4</v>
      </c>
      <c r="C108" s="202">
        <v>3</v>
      </c>
      <c r="D108" s="203">
        <f>C108-1</f>
        <v>2</v>
      </c>
      <c r="E108" s="203">
        <v>2</v>
      </c>
      <c r="F108" s="204">
        <f>E108-1</f>
        <v>1</v>
      </c>
      <c r="G108" s="214">
        <v>0</v>
      </c>
      <c r="H108" s="15"/>
    </row>
    <row r="109" spans="1:37" s="211" customFormat="1" ht="12" x14ac:dyDescent="0.2">
      <c r="A109" s="201" t="str">
        <f>A41</f>
        <v>Ready E-2C Tactical Communication Mission Systems (F)</v>
      </c>
      <c r="B109" s="202">
        <v>4</v>
      </c>
      <c r="C109" s="202">
        <v>3</v>
      </c>
      <c r="D109" s="203">
        <f>C109-1</f>
        <v>2</v>
      </c>
      <c r="E109" s="203">
        <v>2</v>
      </c>
      <c r="F109" s="204">
        <f>E109-1</f>
        <v>1</v>
      </c>
      <c r="G109" s="214">
        <v>0</v>
      </c>
      <c r="H109" s="15"/>
    </row>
    <row r="110" spans="1:37" s="211" customFormat="1" ht="12" x14ac:dyDescent="0.2">
      <c r="A110" s="201" t="str">
        <f>A42</f>
        <v>Ready E-2C Basic ACC Mission Systems (J)</v>
      </c>
      <c r="B110" s="202">
        <v>4</v>
      </c>
      <c r="C110" s="202">
        <v>3</v>
      </c>
      <c r="D110" s="203">
        <f>C110-1</f>
        <v>2</v>
      </c>
      <c r="E110" s="203">
        <v>2</v>
      </c>
      <c r="F110" s="204">
        <f>E110-1</f>
        <v>1</v>
      </c>
      <c r="G110" s="214">
        <v>0</v>
      </c>
      <c r="H110" s="15"/>
    </row>
    <row r="111" spans="1:37" s="211" customFormat="1" ht="12" x14ac:dyDescent="0.2">
      <c r="A111" s="201" t="str">
        <f>A43</f>
        <v>Ready E-2C Shipboard Mission Systems (K)</v>
      </c>
      <c r="B111" s="202">
        <v>4</v>
      </c>
      <c r="C111" s="202">
        <v>3</v>
      </c>
      <c r="D111" s="203">
        <f>C111-1</f>
        <v>2</v>
      </c>
      <c r="E111" s="203">
        <v>2</v>
      </c>
      <c r="F111" s="204">
        <f>E111-1</f>
        <v>1</v>
      </c>
      <c r="G111" s="214">
        <v>0</v>
      </c>
      <c r="H111" s="15"/>
    </row>
    <row r="112" spans="1:37" s="211" customFormat="1" ht="12" x14ac:dyDescent="0.2">
      <c r="A112" s="201" t="str">
        <f>A44</f>
        <v>Ready E-2C IMC Flight Mission Systems (L)</v>
      </c>
      <c r="B112" s="202">
        <v>4</v>
      </c>
      <c r="C112" s="202">
        <v>3</v>
      </c>
      <c r="D112" s="203">
        <f>C112-1</f>
        <v>2</v>
      </c>
      <c r="E112" s="203">
        <v>2</v>
      </c>
      <c r="F112" s="204">
        <f>E112-1</f>
        <v>1</v>
      </c>
      <c r="G112" s="214">
        <v>0</v>
      </c>
      <c r="H112" s="15"/>
    </row>
    <row r="113" spans="1:7" ht="12" x14ac:dyDescent="0.2">
      <c r="A113" s="213" t="s">
        <v>203</v>
      </c>
      <c r="B113" s="209"/>
      <c r="C113" s="210"/>
      <c r="D113" s="210"/>
      <c r="E113" s="210"/>
      <c r="F113" s="210"/>
      <c r="G113" s="216"/>
    </row>
    <row r="114" spans="1:7" ht="12" x14ac:dyDescent="0.2">
      <c r="A114" s="201" t="str">
        <f>A45</f>
        <v>Assigned CEC Mission Sets (HE2K ONLY)</v>
      </c>
      <c r="B114" s="202">
        <v>4</v>
      </c>
      <c r="C114" s="202">
        <v>4</v>
      </c>
      <c r="D114" s="203">
        <f>C114-1</f>
        <v>3</v>
      </c>
      <c r="E114" s="203">
        <v>3</v>
      </c>
      <c r="F114" s="204">
        <f>E114-1</f>
        <v>2</v>
      </c>
      <c r="G114" s="214">
        <v>0</v>
      </c>
    </row>
    <row r="115" spans="1:7" ht="12" x14ac:dyDescent="0.2">
      <c r="A115" s="201" t="str">
        <f>A46</f>
        <v>Ready CEC Mission Sets (HE2K ONLY)</v>
      </c>
      <c r="B115" s="202">
        <v>4</v>
      </c>
      <c r="C115" s="202">
        <v>3</v>
      </c>
      <c r="D115" s="203">
        <f>C115-1</f>
        <v>2</v>
      </c>
      <c r="E115" s="203">
        <v>2</v>
      </c>
      <c r="F115" s="204">
        <f>E115-1</f>
        <v>1</v>
      </c>
      <c r="G115" s="214">
        <v>0</v>
      </c>
    </row>
    <row r="116" spans="1:7" ht="12" x14ac:dyDescent="0.2">
      <c r="A116" s="201" t="str">
        <f>A47</f>
        <v xml:space="preserve">Assigned ES Mission Sets </v>
      </c>
      <c r="B116" s="202">
        <v>4</v>
      </c>
      <c r="C116" s="202">
        <v>4</v>
      </c>
      <c r="D116" s="203">
        <f>C116-1</f>
        <v>3</v>
      </c>
      <c r="E116" s="203">
        <v>3</v>
      </c>
      <c r="F116" s="204">
        <f>E116-1</f>
        <v>2</v>
      </c>
      <c r="G116" s="214">
        <v>0</v>
      </c>
    </row>
    <row r="117" spans="1:7" ht="12" x14ac:dyDescent="0.2">
      <c r="A117" s="201" t="str">
        <f>A48</f>
        <v>Ready ES Mission Sets</v>
      </c>
      <c r="B117" s="202">
        <v>4</v>
      </c>
      <c r="C117" s="202">
        <v>3</v>
      </c>
      <c r="D117" s="203">
        <f>C117-1</f>
        <v>2</v>
      </c>
      <c r="E117" s="203">
        <v>2</v>
      </c>
      <c r="F117" s="204">
        <f>E117-1</f>
        <v>1</v>
      </c>
      <c r="G117" s="214">
        <v>0</v>
      </c>
    </row>
    <row r="121" spans="1:7" x14ac:dyDescent="0.2">
      <c r="A121" s="395" t="s">
        <v>178</v>
      </c>
      <c r="B121" s="86" t="s">
        <v>218</v>
      </c>
    </row>
    <row r="122" spans="1:7" x14ac:dyDescent="0.2">
      <c r="A122" s="396" t="s">
        <v>180</v>
      </c>
      <c r="B122" s="397">
        <f>HLOOKUP($B$121,'E-2 Mission System Summary'!$B$1:$F$14,2,FALSE)</f>
        <v>0.84357556007170087</v>
      </c>
    </row>
    <row r="123" spans="1:7" x14ac:dyDescent="0.2">
      <c r="A123" s="396" t="str">
        <f t="shared" ref="A123:A128" si="44">A39</f>
        <v>Ready E-2C Advanced Navigation Systems (D)</v>
      </c>
      <c r="B123" s="397">
        <f>HLOOKUP($B$121,'E-2 Mission System Summary'!$B$1:$F$14,3,FALSE)</f>
        <v>0.35704369156975269</v>
      </c>
    </row>
    <row r="124" spans="1:7" x14ac:dyDescent="0.2">
      <c r="A124" s="396" t="str">
        <f t="shared" si="44"/>
        <v>Ready E-2C Electronic Warfare Mission Systems (E) (HE2K ONLY)</v>
      </c>
      <c r="B124" s="397">
        <f>HLOOKUP($B$121,'E-2 Mission System Summary'!$B$1:$F$14,4,FALSE)</f>
        <v>0.76751923694726887</v>
      </c>
    </row>
    <row r="125" spans="1:7" x14ac:dyDescent="0.2">
      <c r="A125" s="396" t="str">
        <f t="shared" si="44"/>
        <v>Ready E-2C Tactical Communication Mission Systems (F)</v>
      </c>
      <c r="B125" s="397">
        <f>HLOOKUP($B$121,'E-2 Mission System Summary'!$B$1:$F$14,5,FALSE)</f>
        <v>0.76320744326783374</v>
      </c>
    </row>
    <row r="126" spans="1:7" x14ac:dyDescent="0.2">
      <c r="A126" s="396" t="str">
        <f t="shared" si="44"/>
        <v>Ready E-2C Basic ACC Mission Systems (J)</v>
      </c>
      <c r="B126" s="397">
        <f>HLOOKUP($B$121,'E-2 Mission System Summary'!$B$1:$F$14,6,FALSE)</f>
        <v>0.35704369156975269</v>
      </c>
    </row>
    <row r="127" spans="1:7" x14ac:dyDescent="0.2">
      <c r="A127" s="396" t="str">
        <f t="shared" si="44"/>
        <v>Ready E-2C Shipboard Mission Systems (K)</v>
      </c>
      <c r="B127" s="397">
        <f>HLOOKUP($B$121,'E-2 Mission System Summary'!$B$1:$F$14,7,FALSE)</f>
        <v>0.35704369156975269</v>
      </c>
    </row>
    <row r="128" spans="1:7" x14ac:dyDescent="0.2">
      <c r="A128" s="396" t="str">
        <f t="shared" si="44"/>
        <v>Ready E-2C IMC Flight Mission Systems (L)</v>
      </c>
      <c r="B128" s="397">
        <f>HLOOKUP($B$121,'E-2 Mission System Summary'!$B$1:$F$14,8,FALSE)</f>
        <v>1</v>
      </c>
    </row>
  </sheetData>
  <dataConsolidate/>
  <mergeCells count="15">
    <mergeCell ref="X16:AB16"/>
    <mergeCell ref="N16:Q16"/>
    <mergeCell ref="R16:W16"/>
    <mergeCell ref="A1:D1"/>
    <mergeCell ref="M1:P1"/>
    <mergeCell ref="K16:M16"/>
    <mergeCell ref="B16:G16"/>
    <mergeCell ref="H16:J16"/>
    <mergeCell ref="B103:C103"/>
    <mergeCell ref="D103:E103"/>
    <mergeCell ref="F103:G103"/>
    <mergeCell ref="A99:B99"/>
    <mergeCell ref="A72:AC72"/>
    <mergeCell ref="A83:B83"/>
    <mergeCell ref="A82:B82"/>
  </mergeCells>
  <phoneticPr fontId="5" type="noConversion"/>
  <conditionalFormatting sqref="C105:C113">
    <cfRule type="cellIs" dxfId="20" priority="39" operator="equal">
      <formula>B105</formula>
    </cfRule>
  </conditionalFormatting>
  <conditionalFormatting sqref="D105:E113">
    <cfRule type="cellIs" dxfId="19" priority="38" operator="equal">
      <formula>C105</formula>
    </cfRule>
  </conditionalFormatting>
  <conditionalFormatting sqref="E105:E106">
    <cfRule type="cellIs" dxfId="18" priority="37" operator="equal">
      <formula>D105</formula>
    </cfRule>
  </conditionalFormatting>
  <conditionalFormatting sqref="F105">
    <cfRule type="cellIs" dxfId="17" priority="36" operator="equal">
      <formula>E105</formula>
    </cfRule>
  </conditionalFormatting>
  <conditionalFormatting sqref="F106:F113">
    <cfRule type="cellIs" dxfId="16" priority="34" operator="equal">
      <formula>G106</formula>
    </cfRule>
    <cfRule type="cellIs" dxfId="15" priority="35" operator="equal">
      <formula>E106</formula>
    </cfRule>
  </conditionalFormatting>
  <conditionalFormatting sqref="C105">
    <cfRule type="cellIs" dxfId="14" priority="33" operator="equal">
      <formula>B105</formula>
    </cfRule>
  </conditionalFormatting>
  <conditionalFormatting sqref="D105">
    <cfRule type="cellIs" dxfId="13" priority="32" operator="equal">
      <formula>C105</formula>
    </cfRule>
  </conditionalFormatting>
  <conditionalFormatting sqref="E105:E106">
    <cfRule type="cellIs" dxfId="12" priority="31" operator="equal">
      <formula>D105</formula>
    </cfRule>
  </conditionalFormatting>
  <conditionalFormatting sqref="F105">
    <cfRule type="cellIs" dxfId="11" priority="30" operator="equal">
      <formula>E105</formula>
    </cfRule>
  </conditionalFormatting>
  <conditionalFormatting sqref="C105">
    <cfRule type="cellIs" dxfId="10" priority="29" operator="equal">
      <formula>B105</formula>
    </cfRule>
  </conditionalFormatting>
  <conditionalFormatting sqref="D105">
    <cfRule type="cellIs" dxfId="9" priority="27" operator="equal">
      <formula>C105</formula>
    </cfRule>
  </conditionalFormatting>
  <conditionalFormatting sqref="E105:E106">
    <cfRule type="cellIs" dxfId="8" priority="26" operator="equal">
      <formula>D105</formula>
    </cfRule>
  </conditionalFormatting>
  <conditionalFormatting sqref="D114:E117">
    <cfRule type="cellIs" dxfId="7" priority="21" operator="equal">
      <formula>C114</formula>
    </cfRule>
  </conditionalFormatting>
  <conditionalFormatting sqref="F105">
    <cfRule type="cellIs" dxfId="6" priority="23" operator="equal">
      <formula>E105</formula>
    </cfRule>
  </conditionalFormatting>
  <conditionalFormatting sqref="C114:C117">
    <cfRule type="cellIs" dxfId="5" priority="22" operator="equal">
      <formula>B114</formula>
    </cfRule>
  </conditionalFormatting>
  <conditionalFormatting sqref="F114:F117">
    <cfRule type="cellIs" dxfId="4" priority="19" operator="equal">
      <formula>G114</formula>
    </cfRule>
    <cfRule type="cellIs" dxfId="3" priority="20" operator="equal">
      <formula>E114</formula>
    </cfRule>
  </conditionalFormatting>
  <hyperlinks>
    <hyperlink ref="H1" location="Inventory!A1" display="Inventory" xr:uid="{00000000-0004-0000-0500-000000000000}"/>
    <hyperlink ref="I103" location="'VAW E-2C CVW DRRS(U)'!A1" display="Top" xr:uid="{00000000-0004-0000-0500-000001000000}"/>
    <hyperlink ref="H2" location="'VAW E-2C CVW DRRS(U)'!A117" display="AMFOM" xr:uid="{00000000-0004-0000-0500-000002000000}"/>
    <hyperlink ref="I104" location="Inventory!A1" display="Inventory" xr:uid="{00000000-0004-0000-0500-000003000000}"/>
  </hyperlinks>
  <printOptions horizontalCentered="1"/>
  <pageMargins left="0.5" right="0.5" top="0.52" bottom="1" header="0.5" footer="0.5"/>
  <pageSetup paperSize="3" scale="46"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U50"/>
  <sheetViews>
    <sheetView showGridLines="0" zoomScaleNormal="100" zoomScaleSheetLayoutView="100" workbookViewId="0">
      <selection activeCell="G1" sqref="G1"/>
    </sheetView>
  </sheetViews>
  <sheetFormatPr defaultRowHeight="11.25" x14ac:dyDescent="0.2"/>
  <cols>
    <col min="1" max="1" width="50.85546875" style="298" bestFit="1" customWidth="1"/>
    <col min="2" max="2" width="7.42578125" style="298" customWidth="1"/>
    <col min="3" max="6" width="7.42578125" style="310" customWidth="1"/>
    <col min="7" max="10" width="7.42578125" style="311" customWidth="1"/>
    <col min="11" max="15" width="5.7109375" style="311" customWidth="1"/>
    <col min="16" max="17" width="5.7109375" style="312" customWidth="1"/>
    <col min="18" max="29" width="5.7109375" style="298" customWidth="1"/>
    <col min="30" max="16384" width="9.140625" style="298"/>
  </cols>
  <sheetData>
    <row r="1" spans="1:47" s="303" customFormat="1" ht="18.75" x14ac:dyDescent="0.3">
      <c r="A1" s="504" t="s">
        <v>219</v>
      </c>
      <c r="B1" s="504"/>
      <c r="C1" s="504"/>
      <c r="D1" s="504"/>
      <c r="E1" s="504"/>
      <c r="F1" s="504"/>
      <c r="G1" s="302" t="s">
        <v>46</v>
      </c>
      <c r="I1" s="304" t="s">
        <v>47</v>
      </c>
      <c r="J1" s="505">
        <v>44835</v>
      </c>
      <c r="K1" s="505"/>
      <c r="N1" s="305"/>
      <c r="O1" s="305"/>
      <c r="P1" s="306"/>
      <c r="Q1" s="306"/>
      <c r="AC1" s="367" t="s">
        <v>48</v>
      </c>
      <c r="AD1" s="366">
        <v>2.04</v>
      </c>
    </row>
    <row r="2" spans="1:47" ht="12" x14ac:dyDescent="0.2">
      <c r="A2" s="307"/>
      <c r="B2" s="309" t="s">
        <v>35</v>
      </c>
      <c r="C2" s="308" t="s">
        <v>220</v>
      </c>
    </row>
    <row r="3" spans="1:47" ht="12" x14ac:dyDescent="0.2">
      <c r="A3" s="313" t="s">
        <v>221</v>
      </c>
      <c r="B3" s="315">
        <v>11</v>
      </c>
      <c r="C3" s="314">
        <v>5</v>
      </c>
    </row>
    <row r="4" spans="1:47" ht="12" x14ac:dyDescent="0.2">
      <c r="A4" s="313"/>
      <c r="B4" s="314"/>
      <c r="C4" s="315"/>
    </row>
    <row r="5" spans="1:47" x14ac:dyDescent="0.2">
      <c r="A5" s="307"/>
      <c r="B5" s="316"/>
      <c r="C5" s="298"/>
    </row>
    <row r="6" spans="1:47" x14ac:dyDescent="0.2">
      <c r="A6" s="307"/>
      <c r="B6" s="316"/>
      <c r="C6" s="298"/>
    </row>
    <row r="7" spans="1:47" ht="56.25" customHeight="1" x14ac:dyDescent="0.2">
      <c r="A7" s="287" t="s">
        <v>62</v>
      </c>
      <c r="B7" s="23" t="s">
        <v>222</v>
      </c>
      <c r="C7" s="317" t="s">
        <v>222</v>
      </c>
      <c r="F7" s="298"/>
    </row>
    <row r="8" spans="1:47" ht="12" x14ac:dyDescent="0.2">
      <c r="A8" s="287" t="s">
        <v>71</v>
      </c>
      <c r="B8" s="318" t="s">
        <v>223</v>
      </c>
      <c r="C8" s="319" t="s">
        <v>224</v>
      </c>
      <c r="F8" s="298"/>
    </row>
    <row r="9" spans="1:47" s="320" customFormat="1" ht="12" x14ac:dyDescent="0.2">
      <c r="A9" s="287" t="s">
        <v>99</v>
      </c>
      <c r="B9" s="24">
        <v>1</v>
      </c>
      <c r="C9" s="24">
        <v>2</v>
      </c>
      <c r="D9" s="310"/>
      <c r="E9" s="310"/>
      <c r="G9" s="311"/>
      <c r="H9" s="311"/>
      <c r="I9" s="311"/>
      <c r="J9" s="311"/>
      <c r="K9" s="311"/>
      <c r="L9" s="311"/>
      <c r="M9" s="311"/>
      <c r="N9" s="311"/>
      <c r="O9" s="311"/>
      <c r="P9" s="321"/>
      <c r="Q9" s="321"/>
    </row>
    <row r="10" spans="1:47" s="320" customFormat="1" ht="12" x14ac:dyDescent="0.2">
      <c r="A10" s="287" t="s">
        <v>100</v>
      </c>
      <c r="B10" s="506" t="s">
        <v>222</v>
      </c>
      <c r="C10" s="507"/>
      <c r="D10" s="310"/>
      <c r="E10" s="310"/>
      <c r="G10" s="311"/>
      <c r="H10" s="311"/>
      <c r="I10" s="311"/>
      <c r="J10" s="311"/>
      <c r="K10" s="311"/>
      <c r="L10" s="311"/>
      <c r="M10" s="311"/>
      <c r="N10" s="311"/>
      <c r="O10" s="311"/>
      <c r="P10" s="321"/>
      <c r="Q10" s="321"/>
    </row>
    <row r="11" spans="1:47" s="320" customFormat="1" ht="12.75" x14ac:dyDescent="0.2">
      <c r="A11" s="102" t="s">
        <v>120</v>
      </c>
      <c r="B11" s="465"/>
      <c r="C11" s="466"/>
      <c r="D11" s="310"/>
      <c r="E11" s="310"/>
      <c r="G11" s="311"/>
      <c r="H11" s="311"/>
      <c r="I11" s="311"/>
      <c r="J11" s="311"/>
      <c r="K11" s="311"/>
      <c r="L11" s="311"/>
      <c r="M11" s="311"/>
      <c r="N11" s="311"/>
      <c r="O11" s="311"/>
      <c r="P11" s="321"/>
      <c r="Q11" s="321"/>
    </row>
    <row r="12" spans="1:47" s="320" customFormat="1" ht="12" x14ac:dyDescent="0.2">
      <c r="A12" s="287" t="s">
        <v>121</v>
      </c>
      <c r="B12" s="358" t="s">
        <v>225</v>
      </c>
      <c r="C12" s="466" t="s">
        <v>225</v>
      </c>
      <c r="D12" s="310"/>
      <c r="E12" s="310"/>
      <c r="G12" s="311"/>
      <c r="H12" s="311"/>
      <c r="I12" s="311"/>
      <c r="J12" s="311"/>
      <c r="K12" s="311"/>
      <c r="L12" s="311"/>
      <c r="M12" s="311"/>
      <c r="N12" s="311"/>
      <c r="O12" s="311"/>
      <c r="P12" s="321"/>
      <c r="Q12" s="321"/>
    </row>
    <row r="13" spans="1:47" s="320" customFormat="1" ht="12" x14ac:dyDescent="0.2">
      <c r="A13" s="287" t="s">
        <v>122</v>
      </c>
      <c r="B13" s="358">
        <v>0.75</v>
      </c>
      <c r="C13" s="358">
        <v>0.75</v>
      </c>
      <c r="D13" s="310"/>
      <c r="E13" s="310"/>
      <c r="G13" s="311"/>
      <c r="H13" s="311"/>
      <c r="I13" s="311"/>
      <c r="J13" s="311"/>
      <c r="K13" s="311"/>
      <c r="L13" s="311"/>
      <c r="M13" s="311"/>
      <c r="N13" s="311"/>
      <c r="O13" s="311"/>
      <c r="P13" s="321"/>
      <c r="Q13" s="321"/>
    </row>
    <row r="14" spans="1:47" s="320" customFormat="1" ht="12" x14ac:dyDescent="0.2">
      <c r="A14" s="387" t="s">
        <v>226</v>
      </c>
      <c r="B14" s="388">
        <v>0.25</v>
      </c>
      <c r="C14" s="358">
        <v>0.25</v>
      </c>
      <c r="D14" s="310"/>
      <c r="E14" s="310"/>
      <c r="G14" s="311"/>
      <c r="H14" s="311"/>
      <c r="I14" s="311"/>
      <c r="J14" s="311"/>
      <c r="K14" s="311"/>
      <c r="L14" s="311"/>
      <c r="M14" s="311"/>
      <c r="N14" s="311"/>
      <c r="O14" s="311"/>
      <c r="P14" s="321"/>
      <c r="Q14" s="321"/>
    </row>
    <row r="15" spans="1:47" ht="12.75" x14ac:dyDescent="0.2">
      <c r="A15" s="322" t="s">
        <v>227</v>
      </c>
      <c r="B15" s="323" t="s">
        <v>35</v>
      </c>
      <c r="C15" s="324" t="s">
        <v>220</v>
      </c>
      <c r="D15" s="325"/>
      <c r="E15" s="325"/>
      <c r="F15" s="298"/>
      <c r="G15" s="326"/>
      <c r="H15" s="326"/>
      <c r="I15" s="326"/>
      <c r="J15" s="326"/>
      <c r="K15" s="326"/>
      <c r="L15" s="326"/>
      <c r="M15" s="326"/>
      <c r="N15" s="326"/>
      <c r="O15" s="326"/>
      <c r="P15" s="327"/>
      <c r="Q15" s="32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row>
    <row r="16" spans="1:47" s="300" customFormat="1" ht="12" x14ac:dyDescent="0.2">
      <c r="A16" s="2" t="s">
        <v>124</v>
      </c>
      <c r="B16" s="328">
        <v>8</v>
      </c>
      <c r="C16" s="328">
        <v>2</v>
      </c>
      <c r="E16" s="329"/>
      <c r="F16" s="329"/>
      <c r="G16" s="330"/>
      <c r="H16" s="330"/>
      <c r="I16" s="330"/>
      <c r="J16" s="330"/>
      <c r="K16" s="330"/>
      <c r="L16" s="330"/>
      <c r="M16" s="330"/>
      <c r="N16" s="330"/>
      <c r="O16" s="330"/>
      <c r="P16" s="331"/>
      <c r="Q16" s="331"/>
    </row>
    <row r="17" spans="1:47" ht="12" x14ac:dyDescent="0.2">
      <c r="A17" s="2" t="s">
        <v>125</v>
      </c>
      <c r="B17" s="328">
        <v>5</v>
      </c>
      <c r="C17" s="328">
        <v>1.2</v>
      </c>
      <c r="E17" s="325"/>
      <c r="F17" s="325"/>
      <c r="G17" s="326"/>
      <c r="H17" s="326"/>
      <c r="I17" s="326"/>
      <c r="J17" s="326"/>
      <c r="K17" s="326"/>
      <c r="L17" s="326"/>
      <c r="M17" s="326"/>
      <c r="N17" s="326"/>
      <c r="O17" s="326"/>
      <c r="P17" s="327"/>
      <c r="Q17" s="327"/>
      <c r="R17" s="297"/>
      <c r="S17" s="297"/>
      <c r="T17" s="297"/>
      <c r="U17" s="297"/>
      <c r="V17" s="297"/>
      <c r="W17" s="297"/>
      <c r="X17" s="297"/>
      <c r="Y17" s="297"/>
      <c r="Z17" s="297"/>
      <c r="AA17" s="297"/>
      <c r="AB17" s="297"/>
      <c r="AC17" s="297"/>
      <c r="AD17" s="297"/>
      <c r="AE17" s="297"/>
      <c r="AF17" s="297"/>
      <c r="AG17" s="297"/>
      <c r="AH17" s="297"/>
      <c r="AI17" s="297"/>
      <c r="AJ17" s="297"/>
      <c r="AK17" s="297"/>
      <c r="AL17" s="297"/>
      <c r="AM17" s="297"/>
      <c r="AN17" s="297"/>
      <c r="AO17" s="297"/>
      <c r="AP17" s="297"/>
      <c r="AQ17" s="297"/>
      <c r="AR17" s="297"/>
      <c r="AS17" s="297"/>
      <c r="AT17" s="297"/>
      <c r="AU17" s="297"/>
    </row>
    <row r="18" spans="1:47" ht="12" x14ac:dyDescent="0.2">
      <c r="A18" s="389" t="s">
        <v>126</v>
      </c>
      <c r="B18" s="328">
        <f>B16*C14</f>
        <v>2</v>
      </c>
      <c r="C18" s="328">
        <f>C16*B14</f>
        <v>0.5</v>
      </c>
      <c r="D18" s="298"/>
      <c r="E18" s="325"/>
      <c r="F18" s="325"/>
      <c r="G18" s="326"/>
      <c r="H18" s="326"/>
      <c r="I18" s="326"/>
      <c r="J18" s="326"/>
      <c r="K18" s="326"/>
      <c r="L18" s="326"/>
      <c r="M18" s="326"/>
      <c r="N18" s="326"/>
      <c r="O18" s="326"/>
      <c r="P18" s="327"/>
      <c r="Q18" s="327"/>
      <c r="R18" s="297"/>
      <c r="S18" s="297"/>
      <c r="T18" s="297"/>
      <c r="U18" s="297"/>
      <c r="V18" s="297"/>
      <c r="W18" s="297"/>
      <c r="X18" s="297"/>
      <c r="Y18" s="297"/>
      <c r="Z18" s="297"/>
      <c r="AA18" s="297"/>
      <c r="AB18" s="297"/>
      <c r="AC18" s="297"/>
      <c r="AD18" s="297"/>
      <c r="AE18" s="297"/>
      <c r="AF18" s="297"/>
      <c r="AG18" s="297"/>
      <c r="AH18" s="297"/>
      <c r="AI18" s="297"/>
      <c r="AJ18" s="297"/>
      <c r="AK18" s="297"/>
      <c r="AL18" s="297"/>
      <c r="AM18" s="297"/>
      <c r="AN18" s="297"/>
      <c r="AO18" s="297"/>
      <c r="AP18" s="297"/>
      <c r="AQ18" s="297"/>
      <c r="AR18" s="297"/>
      <c r="AS18" s="297"/>
      <c r="AT18" s="297"/>
      <c r="AU18" s="297"/>
    </row>
    <row r="19" spans="1:47" ht="12" x14ac:dyDescent="0.2">
      <c r="A19" s="226" t="s">
        <v>127</v>
      </c>
      <c r="B19" s="456"/>
      <c r="C19" s="455"/>
      <c r="D19" s="325"/>
      <c r="E19" s="325"/>
      <c r="F19" s="325"/>
      <c r="G19" s="326"/>
      <c r="H19" s="326"/>
      <c r="I19" s="326"/>
      <c r="J19" s="326"/>
      <c r="K19" s="326"/>
      <c r="L19" s="326"/>
      <c r="M19" s="326"/>
      <c r="N19" s="326"/>
      <c r="O19" s="326"/>
      <c r="P19" s="327"/>
      <c r="Q19" s="327"/>
      <c r="R19" s="297"/>
      <c r="S19" s="297"/>
      <c r="T19" s="297"/>
      <c r="U19" s="297"/>
      <c r="V19" s="297"/>
      <c r="W19" s="297"/>
      <c r="X19" s="297"/>
      <c r="Y19" s="297"/>
      <c r="Z19" s="297"/>
      <c r="AA19" s="297"/>
      <c r="AB19" s="297"/>
      <c r="AC19" s="297"/>
      <c r="AD19" s="297"/>
      <c r="AE19" s="297"/>
      <c r="AF19" s="297"/>
      <c r="AG19" s="297"/>
      <c r="AH19" s="297"/>
      <c r="AI19" s="297"/>
      <c r="AJ19" s="297"/>
      <c r="AK19" s="297"/>
      <c r="AL19" s="297"/>
      <c r="AM19" s="297"/>
      <c r="AN19" s="297"/>
      <c r="AO19" s="297"/>
      <c r="AP19" s="297"/>
      <c r="AQ19" s="297"/>
      <c r="AR19" s="297"/>
      <c r="AS19" s="297"/>
      <c r="AT19" s="297"/>
      <c r="AU19" s="297"/>
    </row>
    <row r="20" spans="1:47" ht="12" x14ac:dyDescent="0.2">
      <c r="A20" s="457" t="s">
        <v>128</v>
      </c>
      <c r="B20" s="328">
        <v>2</v>
      </c>
      <c r="C20" s="459"/>
      <c r="D20" s="325"/>
      <c r="E20" s="325"/>
      <c r="F20" s="325"/>
      <c r="G20" s="326"/>
      <c r="H20" s="326"/>
      <c r="I20" s="326"/>
      <c r="J20" s="326"/>
      <c r="K20" s="326"/>
      <c r="L20" s="326"/>
      <c r="M20" s="326"/>
      <c r="N20" s="326"/>
      <c r="O20" s="326"/>
      <c r="P20" s="327"/>
      <c r="Q20" s="327"/>
      <c r="R20" s="297"/>
      <c r="S20" s="297"/>
      <c r="T20" s="297"/>
      <c r="U20" s="297"/>
      <c r="V20" s="297"/>
      <c r="W20" s="297"/>
      <c r="X20" s="297"/>
      <c r="Y20" s="297"/>
      <c r="Z20" s="297"/>
      <c r="AA20" s="297"/>
      <c r="AB20" s="297"/>
      <c r="AC20" s="297"/>
      <c r="AD20" s="297"/>
      <c r="AE20" s="297"/>
      <c r="AF20" s="297"/>
      <c r="AG20" s="297"/>
      <c r="AH20" s="297"/>
      <c r="AI20" s="297"/>
      <c r="AJ20" s="297"/>
      <c r="AK20" s="297"/>
      <c r="AL20" s="297"/>
      <c r="AM20" s="297"/>
      <c r="AN20" s="297"/>
      <c r="AO20" s="297"/>
      <c r="AP20" s="297"/>
      <c r="AQ20" s="297"/>
      <c r="AR20" s="297"/>
      <c r="AS20" s="297"/>
      <c r="AT20" s="297"/>
      <c r="AU20" s="297"/>
    </row>
    <row r="21" spans="1:47" ht="12" x14ac:dyDescent="0.2">
      <c r="A21" s="407" t="s">
        <v>129</v>
      </c>
      <c r="B21" s="328">
        <v>2</v>
      </c>
      <c r="C21" s="460"/>
      <c r="D21" s="325"/>
      <c r="E21" s="325"/>
      <c r="F21" s="325"/>
      <c r="G21" s="326"/>
      <c r="H21" s="326"/>
      <c r="I21" s="326"/>
      <c r="J21" s="326"/>
      <c r="K21" s="326"/>
      <c r="L21" s="326"/>
      <c r="M21" s="326"/>
      <c r="N21" s="326"/>
      <c r="O21" s="326"/>
      <c r="P21" s="327"/>
      <c r="Q21" s="32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row>
    <row r="22" spans="1:47" ht="12" x14ac:dyDescent="0.2">
      <c r="A22" s="407" t="s">
        <v>130</v>
      </c>
      <c r="B22" s="328">
        <v>2</v>
      </c>
      <c r="C22" s="460"/>
      <c r="D22" s="325"/>
      <c r="E22" s="325"/>
      <c r="F22" s="325"/>
      <c r="G22" s="326"/>
      <c r="H22" s="326"/>
      <c r="I22" s="326"/>
      <c r="J22" s="326"/>
      <c r="K22" s="326"/>
      <c r="L22" s="326"/>
      <c r="M22" s="326"/>
      <c r="N22" s="326"/>
      <c r="O22" s="326"/>
      <c r="P22" s="327"/>
      <c r="Q22" s="327"/>
      <c r="R22" s="297"/>
      <c r="S22" s="297"/>
      <c r="T22" s="297"/>
      <c r="U22" s="297"/>
      <c r="V22" s="297"/>
      <c r="W22" s="297"/>
      <c r="X22" s="297"/>
      <c r="Y22" s="297"/>
      <c r="Z22" s="297"/>
      <c r="AA22" s="297"/>
      <c r="AB22" s="297"/>
      <c r="AC22" s="297"/>
      <c r="AD22" s="297"/>
      <c r="AE22" s="297"/>
      <c r="AF22" s="297"/>
      <c r="AG22" s="297"/>
      <c r="AH22" s="297"/>
      <c r="AI22" s="297"/>
      <c r="AJ22" s="297"/>
      <c r="AK22" s="297"/>
      <c r="AL22" s="297"/>
      <c r="AM22" s="297"/>
      <c r="AN22" s="297"/>
      <c r="AO22" s="297"/>
      <c r="AP22" s="297"/>
      <c r="AQ22" s="297"/>
      <c r="AR22" s="297"/>
      <c r="AS22" s="297"/>
      <c r="AT22" s="297"/>
      <c r="AU22" s="297"/>
    </row>
    <row r="23" spans="1:47" ht="12" x14ac:dyDescent="0.2">
      <c r="A23" s="407" t="s">
        <v>131</v>
      </c>
      <c r="B23" s="328">
        <v>2</v>
      </c>
      <c r="C23" s="460"/>
      <c r="D23" s="325"/>
      <c r="E23" s="325"/>
      <c r="F23" s="325"/>
      <c r="G23" s="326"/>
      <c r="H23" s="326"/>
      <c r="I23" s="326"/>
      <c r="J23" s="326"/>
      <c r="K23" s="326"/>
      <c r="L23" s="326"/>
      <c r="M23" s="326"/>
      <c r="N23" s="326"/>
      <c r="O23" s="326"/>
      <c r="P23" s="327"/>
      <c r="Q23" s="32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297"/>
      <c r="AQ23" s="297"/>
      <c r="AR23" s="297"/>
      <c r="AS23" s="297"/>
      <c r="AT23" s="297"/>
      <c r="AU23" s="297"/>
    </row>
    <row r="24" spans="1:47" ht="12" x14ac:dyDescent="0.2">
      <c r="A24" s="407" t="s">
        <v>132</v>
      </c>
      <c r="B24" s="328">
        <v>2</v>
      </c>
      <c r="C24" s="460"/>
      <c r="D24" s="325"/>
      <c r="E24" s="325"/>
      <c r="F24" s="325"/>
      <c r="G24" s="326"/>
      <c r="H24" s="326"/>
      <c r="I24" s="326"/>
      <c r="J24" s="326"/>
      <c r="K24" s="326"/>
      <c r="L24" s="326"/>
      <c r="M24" s="326"/>
      <c r="N24" s="326"/>
      <c r="O24" s="326"/>
      <c r="P24" s="327"/>
      <c r="Q24" s="32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297"/>
      <c r="AQ24" s="297"/>
      <c r="AR24" s="297"/>
      <c r="AS24" s="297"/>
      <c r="AT24" s="297"/>
      <c r="AU24" s="297"/>
    </row>
    <row r="25" spans="1:47" ht="12" x14ac:dyDescent="0.2">
      <c r="A25" s="407" t="s">
        <v>133</v>
      </c>
      <c r="B25" s="328">
        <v>2</v>
      </c>
      <c r="C25" s="460"/>
      <c r="D25" s="325"/>
      <c r="E25" s="325"/>
      <c r="F25" s="325"/>
      <c r="G25" s="326"/>
      <c r="H25" s="326"/>
      <c r="I25" s="326"/>
      <c r="J25" s="326"/>
      <c r="K25" s="326"/>
      <c r="L25" s="326"/>
      <c r="M25" s="326"/>
      <c r="N25" s="326"/>
      <c r="O25" s="326"/>
      <c r="P25" s="327"/>
      <c r="Q25" s="32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7"/>
      <c r="AQ25" s="297"/>
      <c r="AR25" s="297"/>
      <c r="AS25" s="297"/>
      <c r="AT25" s="297"/>
      <c r="AU25" s="297"/>
    </row>
    <row r="26" spans="1:47" ht="12" x14ac:dyDescent="0.2">
      <c r="A26" s="407" t="s">
        <v>134</v>
      </c>
      <c r="B26" s="328">
        <v>2</v>
      </c>
      <c r="C26" s="460"/>
      <c r="D26" s="325"/>
      <c r="E26" s="325"/>
      <c r="F26" s="325"/>
      <c r="G26" s="326"/>
      <c r="H26" s="326"/>
      <c r="I26" s="326"/>
      <c r="J26" s="326"/>
      <c r="K26" s="326"/>
      <c r="L26" s="326"/>
      <c r="M26" s="326"/>
      <c r="N26" s="326"/>
      <c r="O26" s="326"/>
      <c r="P26" s="327"/>
      <c r="Q26" s="32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297"/>
      <c r="AQ26" s="297"/>
      <c r="AR26" s="297"/>
      <c r="AS26" s="297"/>
      <c r="AT26" s="297"/>
      <c r="AU26" s="297"/>
    </row>
    <row r="27" spans="1:47" ht="12.75" x14ac:dyDescent="0.2">
      <c r="A27" s="332" t="s">
        <v>135</v>
      </c>
      <c r="B27" s="328">
        <v>5</v>
      </c>
      <c r="C27" s="461"/>
      <c r="D27" s="325"/>
      <c r="E27" s="325"/>
      <c r="F27" s="325"/>
      <c r="G27" s="326"/>
      <c r="H27" s="326"/>
      <c r="I27" s="326"/>
      <c r="J27" s="326"/>
      <c r="K27" s="326"/>
      <c r="L27" s="326"/>
      <c r="M27" s="326"/>
      <c r="N27" s="326"/>
      <c r="O27" s="326"/>
      <c r="P27" s="327"/>
      <c r="Q27" s="327"/>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297"/>
      <c r="AP27" s="297"/>
      <c r="AQ27" s="297"/>
      <c r="AR27" s="297"/>
      <c r="AS27" s="297"/>
      <c r="AT27" s="297"/>
      <c r="AU27" s="297"/>
    </row>
    <row r="28" spans="1:47" ht="12" x14ac:dyDescent="0.2">
      <c r="A28" s="407" t="s">
        <v>212</v>
      </c>
      <c r="B28" s="459"/>
      <c r="C28" s="328">
        <v>0.5</v>
      </c>
      <c r="D28" s="325"/>
      <c r="E28" s="325"/>
      <c r="F28" s="325"/>
      <c r="G28" s="326"/>
      <c r="H28" s="326"/>
      <c r="I28" s="326"/>
      <c r="J28" s="326"/>
      <c r="K28" s="326"/>
      <c r="L28" s="326"/>
      <c r="M28" s="326"/>
      <c r="N28" s="326"/>
      <c r="O28" s="326"/>
      <c r="P28" s="327"/>
      <c r="Q28" s="32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297"/>
      <c r="AT28" s="297"/>
      <c r="AU28" s="297"/>
    </row>
    <row r="29" spans="1:47" ht="12" x14ac:dyDescent="0.2">
      <c r="A29" s="407" t="s">
        <v>213</v>
      </c>
      <c r="B29" s="460"/>
      <c r="C29" s="328">
        <v>0.5</v>
      </c>
      <c r="D29" s="325"/>
      <c r="E29" s="325"/>
      <c r="F29" s="325"/>
      <c r="G29" s="326"/>
      <c r="H29" s="326"/>
      <c r="I29" s="326"/>
      <c r="J29" s="326"/>
      <c r="K29" s="326"/>
      <c r="L29" s="326"/>
      <c r="M29" s="326"/>
      <c r="N29" s="326"/>
      <c r="O29" s="326"/>
      <c r="P29" s="327"/>
      <c r="Q29" s="327"/>
      <c r="R29" s="297"/>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7"/>
      <c r="AP29" s="297"/>
      <c r="AQ29" s="297"/>
      <c r="AR29" s="297"/>
      <c r="AS29" s="297"/>
      <c r="AT29" s="297"/>
      <c r="AU29" s="297"/>
    </row>
    <row r="30" spans="1:47" ht="12" x14ac:dyDescent="0.2">
      <c r="A30" s="407" t="s">
        <v>214</v>
      </c>
      <c r="B30" s="460"/>
      <c r="C30" s="328">
        <v>0.5</v>
      </c>
      <c r="D30" s="325"/>
      <c r="E30" s="325"/>
      <c r="F30" s="325"/>
      <c r="G30" s="326"/>
      <c r="H30" s="326"/>
      <c r="I30" s="326"/>
      <c r="J30" s="326"/>
      <c r="K30" s="326"/>
      <c r="L30" s="326"/>
      <c r="M30" s="326"/>
      <c r="N30" s="326"/>
      <c r="O30" s="326"/>
      <c r="P30" s="327"/>
      <c r="Q30" s="327"/>
      <c r="R30" s="297"/>
      <c r="S30" s="297"/>
      <c r="T30" s="297"/>
      <c r="U30" s="297"/>
      <c r="V30" s="297"/>
      <c r="W30" s="297"/>
      <c r="X30" s="297"/>
      <c r="Y30" s="297"/>
      <c r="Z30" s="297"/>
      <c r="AA30" s="297"/>
      <c r="AB30" s="297"/>
      <c r="AC30" s="297"/>
      <c r="AD30" s="297"/>
      <c r="AE30" s="297"/>
      <c r="AF30" s="297"/>
      <c r="AG30" s="297"/>
      <c r="AH30" s="297"/>
      <c r="AI30" s="297"/>
      <c r="AJ30" s="297"/>
      <c r="AK30" s="297"/>
      <c r="AL30" s="297"/>
      <c r="AM30" s="297"/>
      <c r="AN30" s="297"/>
      <c r="AO30" s="297"/>
      <c r="AP30" s="297"/>
      <c r="AQ30" s="297"/>
      <c r="AR30" s="297"/>
      <c r="AS30" s="297"/>
      <c r="AT30" s="297"/>
      <c r="AU30" s="297"/>
    </row>
    <row r="31" spans="1:47" ht="12" x14ac:dyDescent="0.2">
      <c r="A31" s="407" t="s">
        <v>215</v>
      </c>
      <c r="B31" s="460"/>
      <c r="C31" s="328">
        <v>0.5</v>
      </c>
      <c r="D31" s="325"/>
      <c r="E31" s="325"/>
      <c r="F31" s="325"/>
      <c r="G31" s="326"/>
      <c r="H31" s="326"/>
      <c r="I31" s="326"/>
      <c r="J31" s="326"/>
      <c r="K31" s="326"/>
      <c r="L31" s="326"/>
      <c r="M31" s="326"/>
      <c r="N31" s="326"/>
      <c r="O31" s="326"/>
      <c r="P31" s="327"/>
      <c r="Q31" s="327"/>
      <c r="R31" s="297"/>
      <c r="S31" s="297"/>
      <c r="T31" s="297"/>
      <c r="U31" s="297"/>
      <c r="V31" s="297"/>
      <c r="W31" s="297"/>
      <c r="X31" s="297"/>
      <c r="Y31" s="297"/>
      <c r="Z31" s="297"/>
      <c r="AA31" s="297"/>
      <c r="AB31" s="297"/>
      <c r="AC31" s="297"/>
      <c r="AD31" s="297"/>
      <c r="AE31" s="297"/>
      <c r="AF31" s="297"/>
      <c r="AG31" s="297"/>
      <c r="AH31" s="297"/>
      <c r="AI31" s="297"/>
      <c r="AJ31" s="297"/>
      <c r="AK31" s="297"/>
      <c r="AL31" s="297"/>
      <c r="AM31" s="297"/>
      <c r="AN31" s="297"/>
      <c r="AO31" s="297"/>
      <c r="AP31" s="297"/>
      <c r="AQ31" s="297"/>
      <c r="AR31" s="297"/>
      <c r="AS31" s="297"/>
      <c r="AT31" s="297"/>
      <c r="AU31" s="297"/>
    </row>
    <row r="32" spans="1:47" ht="12" x14ac:dyDescent="0.2">
      <c r="A32" s="407" t="s">
        <v>216</v>
      </c>
      <c r="B32" s="460"/>
      <c r="C32" s="328">
        <v>0.5</v>
      </c>
      <c r="D32" s="325"/>
      <c r="E32" s="325"/>
      <c r="F32" s="325"/>
      <c r="G32" s="326"/>
      <c r="H32" s="326"/>
      <c r="I32" s="326"/>
      <c r="J32" s="326"/>
      <c r="K32" s="326"/>
      <c r="L32" s="326"/>
      <c r="M32" s="326"/>
      <c r="N32" s="326"/>
      <c r="O32" s="326"/>
      <c r="P32" s="327"/>
      <c r="Q32" s="327"/>
      <c r="R32" s="297"/>
      <c r="S32" s="297"/>
      <c r="T32" s="297"/>
      <c r="U32" s="297"/>
      <c r="V32" s="297"/>
      <c r="W32" s="297"/>
      <c r="X32" s="297"/>
      <c r="Y32" s="297"/>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row>
    <row r="33" spans="1:47" ht="12.75" x14ac:dyDescent="0.2">
      <c r="A33" s="332" t="s">
        <v>217</v>
      </c>
      <c r="B33" s="460"/>
      <c r="C33" s="328">
        <v>1.2</v>
      </c>
      <c r="D33" s="325"/>
      <c r="E33" s="325"/>
      <c r="F33" s="325"/>
      <c r="G33" s="326"/>
      <c r="H33" s="326"/>
      <c r="I33" s="326"/>
      <c r="J33" s="326"/>
      <c r="K33" s="326"/>
      <c r="L33" s="326"/>
      <c r="M33" s="326"/>
      <c r="N33" s="326"/>
      <c r="O33" s="326"/>
      <c r="P33" s="327"/>
      <c r="Q33" s="327"/>
      <c r="R33" s="297"/>
      <c r="S33" s="297"/>
      <c r="T33" s="297"/>
      <c r="U33" s="297"/>
      <c r="V33" s="297"/>
      <c r="W33" s="297"/>
      <c r="X33" s="297"/>
      <c r="Y33" s="297"/>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row>
    <row r="34" spans="1:47" ht="12" x14ac:dyDescent="0.2">
      <c r="A34" s="407" t="s">
        <v>196</v>
      </c>
      <c r="B34" s="460"/>
      <c r="C34" s="328">
        <v>0</v>
      </c>
      <c r="D34" s="325"/>
      <c r="E34" s="325"/>
      <c r="F34" s="325"/>
      <c r="G34" s="326"/>
      <c r="H34" s="326"/>
      <c r="I34" s="326"/>
      <c r="J34" s="326"/>
      <c r="K34" s="326"/>
      <c r="L34" s="326"/>
      <c r="M34" s="326"/>
      <c r="N34" s="326"/>
      <c r="O34" s="326"/>
      <c r="P34" s="327"/>
      <c r="Q34" s="327"/>
      <c r="R34" s="297"/>
      <c r="S34" s="297"/>
      <c r="T34" s="297"/>
      <c r="U34" s="297"/>
      <c r="V34" s="297"/>
      <c r="W34" s="297"/>
      <c r="X34" s="297"/>
      <c r="Y34" s="297"/>
      <c r="Z34" s="297"/>
      <c r="AA34" s="297"/>
      <c r="AB34" s="297"/>
      <c r="AC34" s="297"/>
      <c r="AD34" s="297"/>
      <c r="AE34" s="297"/>
      <c r="AF34" s="297"/>
      <c r="AG34" s="297"/>
      <c r="AH34" s="297"/>
      <c r="AI34" s="297"/>
      <c r="AJ34" s="297"/>
      <c r="AK34" s="297"/>
      <c r="AL34" s="297"/>
      <c r="AM34" s="297"/>
      <c r="AN34" s="297"/>
      <c r="AO34" s="297"/>
      <c r="AP34" s="297"/>
      <c r="AQ34" s="297"/>
      <c r="AR34" s="297"/>
      <c r="AS34" s="297"/>
      <c r="AT34" s="297"/>
      <c r="AU34" s="297"/>
    </row>
    <row r="35" spans="1:47" ht="12" x14ac:dyDescent="0.2">
      <c r="A35" s="407" t="s">
        <v>197</v>
      </c>
      <c r="B35" s="460"/>
      <c r="C35" s="328">
        <v>0</v>
      </c>
      <c r="D35" s="325"/>
      <c r="E35" s="325"/>
      <c r="F35" s="325"/>
      <c r="G35" s="326"/>
      <c r="H35" s="326"/>
      <c r="I35" s="326"/>
      <c r="J35" s="326"/>
      <c r="K35" s="326"/>
      <c r="L35" s="326"/>
      <c r="M35" s="326"/>
      <c r="N35" s="326"/>
      <c r="O35" s="326"/>
      <c r="P35" s="327"/>
      <c r="Q35" s="327"/>
      <c r="R35" s="297"/>
      <c r="S35" s="297"/>
      <c r="T35" s="297"/>
      <c r="U35" s="297"/>
      <c r="V35" s="297"/>
      <c r="W35" s="297"/>
      <c r="X35" s="297"/>
      <c r="Y35" s="297"/>
      <c r="Z35" s="297"/>
      <c r="AA35" s="297"/>
      <c r="AB35" s="297"/>
      <c r="AC35" s="297"/>
      <c r="AD35" s="297"/>
      <c r="AE35" s="297"/>
      <c r="AF35" s="297"/>
      <c r="AG35" s="297"/>
      <c r="AH35" s="297"/>
      <c r="AI35" s="297"/>
      <c r="AJ35" s="297"/>
      <c r="AK35" s="297"/>
      <c r="AL35" s="297"/>
      <c r="AM35" s="297"/>
      <c r="AN35" s="297"/>
      <c r="AO35" s="297"/>
      <c r="AP35" s="297"/>
      <c r="AQ35" s="297"/>
      <c r="AR35" s="297"/>
      <c r="AS35" s="297"/>
      <c r="AT35" s="297"/>
      <c r="AU35" s="297"/>
    </row>
    <row r="36" spans="1:47" ht="12" x14ac:dyDescent="0.2">
      <c r="A36" s="407" t="s">
        <v>198</v>
      </c>
      <c r="B36" s="460"/>
      <c r="C36" s="328">
        <v>0</v>
      </c>
      <c r="D36" s="325"/>
      <c r="E36" s="325"/>
      <c r="F36" s="325"/>
      <c r="G36" s="326"/>
      <c r="H36" s="326"/>
      <c r="I36" s="326"/>
      <c r="J36" s="326"/>
      <c r="K36" s="326"/>
      <c r="L36" s="326"/>
      <c r="M36" s="326"/>
      <c r="N36" s="326"/>
      <c r="O36" s="326"/>
      <c r="P36" s="327"/>
      <c r="Q36" s="327"/>
      <c r="R36" s="297"/>
      <c r="S36" s="297"/>
      <c r="T36" s="297"/>
      <c r="U36" s="297"/>
      <c r="V36" s="297"/>
      <c r="W36" s="297"/>
      <c r="X36" s="297"/>
      <c r="Y36" s="297"/>
      <c r="Z36" s="297"/>
      <c r="AA36" s="297"/>
      <c r="AB36" s="297"/>
      <c r="AC36" s="297"/>
      <c r="AD36" s="297"/>
      <c r="AE36" s="297"/>
      <c r="AF36" s="297"/>
      <c r="AG36" s="297"/>
      <c r="AH36" s="297"/>
      <c r="AI36" s="297"/>
      <c r="AJ36" s="297"/>
      <c r="AK36" s="297"/>
      <c r="AL36" s="297"/>
      <c r="AM36" s="297"/>
      <c r="AN36" s="297"/>
      <c r="AO36" s="297"/>
      <c r="AP36" s="297"/>
      <c r="AQ36" s="297"/>
      <c r="AR36" s="297"/>
      <c r="AS36" s="297"/>
      <c r="AT36" s="297"/>
      <c r="AU36" s="297"/>
    </row>
    <row r="37" spans="1:47" ht="12" x14ac:dyDescent="0.2">
      <c r="A37" s="407" t="s">
        <v>199</v>
      </c>
      <c r="B37" s="461"/>
      <c r="C37" s="328">
        <v>0</v>
      </c>
      <c r="D37" s="325"/>
      <c r="E37" s="325"/>
      <c r="F37" s="325"/>
      <c r="G37" s="326"/>
      <c r="H37" s="326"/>
      <c r="I37" s="326"/>
      <c r="J37" s="326"/>
      <c r="K37" s="326"/>
      <c r="L37" s="326"/>
      <c r="M37" s="326"/>
      <c r="N37" s="326"/>
      <c r="O37" s="326"/>
      <c r="P37" s="327"/>
      <c r="Q37" s="327"/>
      <c r="R37" s="297"/>
      <c r="S37" s="297"/>
      <c r="T37" s="297"/>
      <c r="U37" s="297"/>
      <c r="V37" s="297"/>
      <c r="W37" s="297"/>
      <c r="X37" s="297"/>
      <c r="Y37" s="297"/>
      <c r="Z37" s="297"/>
      <c r="AA37" s="297"/>
      <c r="AB37" s="297"/>
      <c r="AC37" s="297"/>
      <c r="AD37" s="297"/>
      <c r="AE37" s="297"/>
      <c r="AF37" s="297"/>
      <c r="AG37" s="297"/>
      <c r="AH37" s="297"/>
      <c r="AI37" s="297"/>
      <c r="AJ37" s="297"/>
      <c r="AK37" s="297"/>
      <c r="AL37" s="297"/>
      <c r="AM37" s="297"/>
      <c r="AN37" s="297"/>
      <c r="AO37" s="297"/>
      <c r="AP37" s="297"/>
      <c r="AQ37" s="297"/>
      <c r="AR37" s="297"/>
      <c r="AS37" s="297"/>
      <c r="AT37" s="297"/>
      <c r="AU37" s="297"/>
    </row>
    <row r="38" spans="1:47" ht="12.75" x14ac:dyDescent="0.2">
      <c r="A38" s="290" t="s">
        <v>141</v>
      </c>
      <c r="B38" s="297"/>
      <c r="C38" s="458"/>
      <c r="D38" s="325"/>
      <c r="E38" s="325"/>
      <c r="F38" s="325"/>
      <c r="G38" s="326"/>
      <c r="H38" s="326"/>
      <c r="I38" s="326"/>
      <c r="J38" s="326"/>
      <c r="K38" s="326"/>
      <c r="L38" s="326"/>
      <c r="M38" s="326"/>
      <c r="N38" s="326"/>
      <c r="O38" s="326"/>
      <c r="P38" s="327"/>
      <c r="Q38" s="327"/>
      <c r="R38" s="297"/>
      <c r="S38" s="297"/>
      <c r="T38" s="297"/>
      <c r="U38" s="297"/>
      <c r="V38" s="297"/>
      <c r="W38" s="297"/>
      <c r="X38" s="297"/>
      <c r="Y38" s="297"/>
      <c r="Z38" s="297"/>
      <c r="AA38" s="297"/>
      <c r="AB38" s="297"/>
      <c r="AC38" s="297"/>
      <c r="AD38" s="297"/>
      <c r="AE38" s="297"/>
      <c r="AF38" s="297"/>
      <c r="AG38" s="297"/>
      <c r="AH38" s="297"/>
      <c r="AI38" s="297"/>
      <c r="AJ38" s="297"/>
      <c r="AK38" s="297"/>
      <c r="AL38" s="297"/>
      <c r="AM38" s="297"/>
      <c r="AN38" s="297"/>
      <c r="AO38" s="297"/>
      <c r="AP38" s="297"/>
      <c r="AQ38" s="297"/>
      <c r="AR38" s="297"/>
      <c r="AS38" s="297"/>
      <c r="AT38" s="297"/>
      <c r="AU38" s="297"/>
    </row>
    <row r="39" spans="1:47" s="300" customFormat="1" ht="12" x14ac:dyDescent="0.2">
      <c r="A39" s="2" t="s">
        <v>142</v>
      </c>
      <c r="B39" s="301">
        <v>0.8</v>
      </c>
      <c r="C39" s="301">
        <v>0.8</v>
      </c>
      <c r="D39" s="329"/>
      <c r="E39" s="329"/>
      <c r="F39" s="329"/>
      <c r="G39" s="330"/>
      <c r="H39" s="330"/>
      <c r="I39" s="330"/>
      <c r="J39" s="330"/>
      <c r="K39" s="330"/>
      <c r="L39" s="330"/>
      <c r="M39" s="330"/>
      <c r="N39" s="330"/>
      <c r="O39" s="330"/>
      <c r="P39" s="331"/>
      <c r="Q39" s="331"/>
    </row>
    <row r="40" spans="1:47" ht="12" x14ac:dyDescent="0.2">
      <c r="A40" s="2" t="s">
        <v>143</v>
      </c>
      <c r="B40" s="301">
        <v>0.8</v>
      </c>
      <c r="C40" s="301">
        <v>0.8</v>
      </c>
      <c r="D40" s="325"/>
      <c r="E40" s="325"/>
      <c r="F40" s="325"/>
      <c r="G40" s="326"/>
      <c r="H40" s="326"/>
      <c r="I40" s="326"/>
      <c r="J40" s="326"/>
      <c r="K40" s="326"/>
      <c r="L40" s="326"/>
      <c r="M40" s="326"/>
      <c r="N40" s="326"/>
      <c r="O40" s="326"/>
      <c r="P40" s="327"/>
      <c r="Q40" s="327"/>
      <c r="R40" s="297"/>
      <c r="S40" s="297"/>
      <c r="T40" s="297"/>
      <c r="U40" s="297"/>
      <c r="V40" s="297"/>
      <c r="W40" s="297"/>
      <c r="X40" s="297"/>
      <c r="Y40" s="297"/>
      <c r="Z40" s="297"/>
      <c r="AA40" s="297"/>
      <c r="AB40" s="297"/>
      <c r="AC40" s="297"/>
      <c r="AD40" s="297"/>
      <c r="AE40" s="297"/>
      <c r="AF40" s="297"/>
      <c r="AG40" s="297"/>
      <c r="AH40" s="297"/>
      <c r="AI40" s="297"/>
      <c r="AJ40" s="297"/>
      <c r="AK40" s="297"/>
      <c r="AL40" s="297"/>
      <c r="AM40" s="297"/>
      <c r="AN40" s="297"/>
      <c r="AO40" s="297"/>
      <c r="AP40" s="297"/>
      <c r="AQ40" s="297"/>
      <c r="AR40" s="297"/>
      <c r="AS40" s="297"/>
      <c r="AT40" s="297"/>
      <c r="AU40" s="297"/>
    </row>
    <row r="41" spans="1:47" ht="12" x14ac:dyDescent="0.2">
      <c r="A41" s="2" t="s">
        <v>144</v>
      </c>
      <c r="B41" s="301">
        <v>0.75</v>
      </c>
      <c r="C41" s="301">
        <v>0.75</v>
      </c>
      <c r="D41" s="325"/>
      <c r="E41" s="325"/>
      <c r="F41" s="325"/>
      <c r="G41" s="326"/>
      <c r="H41" s="326"/>
      <c r="I41" s="326"/>
      <c r="J41" s="326"/>
      <c r="K41" s="326"/>
      <c r="L41" s="326"/>
      <c r="M41" s="326"/>
      <c r="N41" s="326"/>
      <c r="O41" s="326"/>
      <c r="P41" s="327"/>
      <c r="Q41" s="327"/>
      <c r="R41" s="297"/>
      <c r="S41" s="297"/>
      <c r="T41" s="297"/>
      <c r="U41" s="297"/>
      <c r="V41" s="297"/>
      <c r="W41" s="297"/>
      <c r="X41" s="297"/>
      <c r="Y41" s="297"/>
      <c r="Z41" s="297"/>
      <c r="AA41" s="297"/>
      <c r="AB41" s="297"/>
      <c r="AC41" s="297"/>
      <c r="AD41" s="297"/>
      <c r="AE41" s="297"/>
      <c r="AF41" s="297"/>
      <c r="AG41" s="297"/>
      <c r="AH41" s="297"/>
      <c r="AI41" s="297"/>
      <c r="AJ41" s="297"/>
      <c r="AK41" s="297"/>
      <c r="AL41" s="297"/>
      <c r="AM41" s="297"/>
      <c r="AN41" s="297"/>
      <c r="AO41" s="297"/>
      <c r="AP41" s="297"/>
      <c r="AQ41" s="297"/>
      <c r="AR41" s="297"/>
      <c r="AS41" s="297"/>
      <c r="AT41" s="297"/>
      <c r="AU41" s="297"/>
    </row>
    <row r="42" spans="1:47" x14ac:dyDescent="0.2">
      <c r="A42" s="297"/>
      <c r="B42" s="297"/>
      <c r="C42" s="325"/>
      <c r="D42" s="325"/>
      <c r="E42" s="325"/>
      <c r="F42" s="325"/>
      <c r="G42" s="326"/>
      <c r="H42" s="326"/>
      <c r="I42" s="326"/>
      <c r="J42" s="326"/>
      <c r="K42" s="326"/>
      <c r="L42" s="326"/>
      <c r="M42" s="326"/>
      <c r="N42" s="326"/>
      <c r="O42" s="326"/>
      <c r="P42" s="327"/>
      <c r="Q42" s="32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row>
    <row r="43" spans="1:47" x14ac:dyDescent="0.2">
      <c r="A43" s="297"/>
      <c r="B43" s="297"/>
      <c r="C43" s="325"/>
      <c r="D43" s="325"/>
      <c r="E43" s="325"/>
      <c r="F43" s="325"/>
      <c r="G43" s="326"/>
      <c r="H43" s="326"/>
      <c r="I43" s="326"/>
      <c r="J43" s="326"/>
      <c r="K43" s="326"/>
      <c r="L43" s="326"/>
      <c r="M43" s="326"/>
      <c r="N43" s="326"/>
      <c r="O43" s="326"/>
      <c r="P43" s="327"/>
      <c r="Q43" s="327"/>
      <c r="R43" s="297"/>
      <c r="S43" s="297"/>
      <c r="T43" s="297"/>
      <c r="U43" s="297"/>
      <c r="V43" s="297"/>
      <c r="W43" s="297"/>
      <c r="X43" s="297"/>
      <c r="Y43" s="297"/>
      <c r="Z43" s="297"/>
      <c r="AA43" s="297"/>
      <c r="AB43" s="297"/>
      <c r="AC43" s="297"/>
      <c r="AD43" s="297"/>
      <c r="AE43" s="297"/>
      <c r="AF43" s="297"/>
      <c r="AG43" s="297"/>
      <c r="AH43" s="297"/>
      <c r="AI43" s="297"/>
      <c r="AJ43" s="297"/>
      <c r="AK43" s="297"/>
      <c r="AL43" s="297"/>
      <c r="AM43" s="297"/>
      <c r="AN43" s="297"/>
      <c r="AO43" s="297"/>
      <c r="AP43" s="297"/>
      <c r="AQ43" s="297"/>
      <c r="AR43" s="297"/>
      <c r="AS43" s="297"/>
      <c r="AT43" s="297"/>
      <c r="AU43" s="297"/>
    </row>
    <row r="44" spans="1:47" x14ac:dyDescent="0.2">
      <c r="A44" s="297"/>
      <c r="B44" s="297"/>
      <c r="C44" s="325"/>
      <c r="D44" s="325"/>
      <c r="E44" s="325"/>
      <c r="F44" s="325"/>
      <c r="G44" s="326"/>
      <c r="H44" s="326"/>
      <c r="I44" s="326"/>
      <c r="J44" s="326"/>
      <c r="K44" s="326"/>
      <c r="L44" s="326"/>
      <c r="M44" s="326"/>
      <c r="N44" s="326"/>
      <c r="O44" s="326"/>
      <c r="P44" s="327"/>
      <c r="Q44" s="327"/>
      <c r="R44" s="297"/>
      <c r="S44" s="297"/>
      <c r="T44" s="297"/>
      <c r="U44" s="297"/>
      <c r="V44" s="297"/>
      <c r="W44" s="297"/>
      <c r="X44" s="297"/>
      <c r="Y44" s="297"/>
      <c r="Z44" s="297"/>
      <c r="AA44" s="297"/>
      <c r="AB44" s="297"/>
      <c r="AC44" s="297"/>
      <c r="AD44" s="297"/>
      <c r="AE44" s="297"/>
      <c r="AF44" s="297"/>
      <c r="AG44" s="297"/>
      <c r="AH44" s="297"/>
      <c r="AI44" s="297"/>
      <c r="AJ44" s="297"/>
      <c r="AK44" s="297"/>
      <c r="AL44" s="297"/>
      <c r="AM44" s="297"/>
      <c r="AN44" s="297"/>
      <c r="AO44" s="297"/>
      <c r="AP44" s="297"/>
      <c r="AQ44" s="297"/>
      <c r="AR44" s="297"/>
      <c r="AS44" s="297"/>
      <c r="AT44" s="297"/>
      <c r="AU44" s="297"/>
    </row>
    <row r="45" spans="1:47" x14ac:dyDescent="0.2">
      <c r="B45" s="297"/>
      <c r="C45" s="325"/>
      <c r="D45" s="325"/>
      <c r="E45" s="325"/>
      <c r="F45" s="325"/>
      <c r="G45" s="326"/>
      <c r="H45" s="326"/>
      <c r="I45" s="326"/>
      <c r="J45" s="326"/>
      <c r="K45" s="326"/>
      <c r="L45" s="326"/>
      <c r="M45" s="326"/>
      <c r="N45" s="326"/>
      <c r="O45" s="326"/>
      <c r="P45" s="327"/>
      <c r="Q45" s="32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297"/>
      <c r="AR45" s="297"/>
      <c r="AS45" s="297"/>
      <c r="AT45" s="297"/>
      <c r="AU45" s="297"/>
    </row>
    <row r="46" spans="1:47" x14ac:dyDescent="0.2">
      <c r="B46" s="297"/>
      <c r="C46" s="325"/>
      <c r="D46" s="325"/>
      <c r="E46" s="325"/>
      <c r="F46" s="325"/>
      <c r="G46" s="326"/>
      <c r="H46" s="326"/>
      <c r="I46" s="326"/>
      <c r="J46" s="326"/>
      <c r="K46" s="326"/>
      <c r="L46" s="326"/>
      <c r="M46" s="326"/>
      <c r="N46" s="326"/>
      <c r="O46" s="326"/>
      <c r="P46" s="327"/>
      <c r="Q46" s="32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row>
    <row r="47" spans="1:47" x14ac:dyDescent="0.2">
      <c r="B47" s="297"/>
      <c r="C47" s="325"/>
      <c r="D47" s="325"/>
      <c r="E47" s="325"/>
      <c r="F47" s="325"/>
      <c r="G47" s="326"/>
      <c r="H47" s="326"/>
      <c r="I47" s="326"/>
      <c r="J47" s="326"/>
      <c r="K47" s="326"/>
      <c r="L47" s="326"/>
      <c r="M47" s="326"/>
      <c r="N47" s="326"/>
      <c r="O47" s="326"/>
      <c r="P47" s="327"/>
      <c r="Q47" s="327"/>
      <c r="R47" s="297"/>
      <c r="S47" s="297"/>
      <c r="T47" s="297"/>
      <c r="U47" s="297"/>
      <c r="V47" s="297"/>
      <c r="W47" s="297"/>
      <c r="X47" s="297"/>
      <c r="Y47" s="297"/>
      <c r="Z47" s="297"/>
      <c r="AA47" s="297"/>
      <c r="AB47" s="297"/>
      <c r="AC47" s="297"/>
      <c r="AD47" s="297"/>
      <c r="AE47" s="297"/>
      <c r="AF47" s="297"/>
      <c r="AG47" s="297"/>
      <c r="AH47" s="297"/>
      <c r="AI47" s="297"/>
      <c r="AJ47" s="297"/>
      <c r="AK47" s="297"/>
      <c r="AL47" s="297"/>
      <c r="AM47" s="297"/>
      <c r="AN47" s="297"/>
      <c r="AO47" s="297"/>
      <c r="AP47" s="297"/>
      <c r="AQ47" s="297"/>
      <c r="AR47" s="297"/>
      <c r="AS47" s="297"/>
      <c r="AT47" s="297"/>
      <c r="AU47" s="297"/>
    </row>
    <row r="48" spans="1:47" x14ac:dyDescent="0.2">
      <c r="B48" s="297"/>
      <c r="C48" s="325"/>
      <c r="D48" s="325"/>
      <c r="E48" s="325"/>
      <c r="F48" s="325"/>
      <c r="G48" s="326"/>
      <c r="H48" s="326"/>
      <c r="I48" s="326"/>
      <c r="J48" s="326"/>
      <c r="K48" s="326"/>
      <c r="L48" s="326"/>
      <c r="M48" s="326"/>
      <c r="N48" s="326"/>
      <c r="O48" s="326"/>
      <c r="P48" s="327"/>
      <c r="Q48" s="327"/>
      <c r="R48" s="297"/>
      <c r="S48" s="297"/>
      <c r="T48" s="297"/>
      <c r="U48" s="297"/>
      <c r="V48" s="297"/>
      <c r="W48" s="297"/>
      <c r="X48" s="297"/>
      <c r="Y48" s="297"/>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row>
    <row r="49" spans="2:47" x14ac:dyDescent="0.2">
      <c r="B49" s="297"/>
      <c r="C49" s="325"/>
      <c r="D49" s="325"/>
      <c r="E49" s="325"/>
      <c r="F49" s="325"/>
      <c r="G49" s="326"/>
      <c r="H49" s="326"/>
      <c r="I49" s="326"/>
      <c r="J49" s="326"/>
      <c r="K49" s="326"/>
      <c r="L49" s="326"/>
      <c r="M49" s="326"/>
      <c r="N49" s="326"/>
      <c r="O49" s="326"/>
      <c r="P49" s="327"/>
      <c r="Q49" s="327"/>
      <c r="R49" s="297"/>
      <c r="S49" s="297"/>
      <c r="T49" s="297"/>
      <c r="U49" s="297"/>
      <c r="V49" s="297"/>
      <c r="W49" s="297"/>
      <c r="X49" s="297"/>
      <c r="Y49" s="297"/>
      <c r="Z49" s="297"/>
      <c r="AA49" s="297"/>
      <c r="AB49" s="297"/>
      <c r="AC49" s="297"/>
      <c r="AD49" s="297"/>
      <c r="AE49" s="297"/>
      <c r="AF49" s="297"/>
      <c r="AG49" s="297"/>
      <c r="AH49" s="297"/>
      <c r="AI49" s="297"/>
      <c r="AJ49" s="297"/>
      <c r="AK49" s="297"/>
      <c r="AL49" s="297"/>
      <c r="AM49" s="297"/>
      <c r="AN49" s="297"/>
      <c r="AO49" s="297"/>
      <c r="AP49" s="297"/>
      <c r="AQ49" s="297"/>
      <c r="AR49" s="297"/>
      <c r="AS49" s="297"/>
      <c r="AT49" s="297"/>
      <c r="AU49" s="297"/>
    </row>
    <row r="50" spans="2:47" x14ac:dyDescent="0.2">
      <c r="B50" s="297"/>
      <c r="C50" s="325"/>
      <c r="D50" s="325"/>
      <c r="E50" s="325"/>
      <c r="F50" s="325"/>
      <c r="G50" s="326"/>
      <c r="H50" s="326"/>
      <c r="I50" s="326"/>
      <c r="J50" s="326"/>
      <c r="K50" s="326"/>
      <c r="L50" s="326"/>
      <c r="M50" s="326"/>
      <c r="N50" s="326"/>
      <c r="O50" s="326"/>
      <c r="P50" s="327"/>
      <c r="Q50" s="327"/>
      <c r="R50" s="297"/>
      <c r="S50" s="297"/>
      <c r="T50" s="297"/>
      <c r="U50" s="297"/>
      <c r="V50" s="297"/>
      <c r="W50" s="297"/>
      <c r="X50" s="297"/>
      <c r="Y50" s="297"/>
      <c r="Z50" s="297"/>
      <c r="AA50" s="297"/>
      <c r="AB50" s="297"/>
      <c r="AC50" s="297"/>
      <c r="AD50" s="297"/>
      <c r="AE50" s="297"/>
      <c r="AF50" s="297"/>
      <c r="AG50" s="297"/>
      <c r="AH50" s="297"/>
      <c r="AI50" s="297"/>
      <c r="AJ50" s="297"/>
      <c r="AK50" s="297"/>
      <c r="AL50" s="297"/>
      <c r="AM50" s="297"/>
      <c r="AN50" s="297"/>
      <c r="AO50" s="297"/>
      <c r="AP50" s="297"/>
      <c r="AQ50" s="297"/>
      <c r="AR50" s="297"/>
      <c r="AS50" s="297"/>
      <c r="AT50" s="297"/>
      <c r="AU50" s="297"/>
    </row>
  </sheetData>
  <mergeCells count="3">
    <mergeCell ref="A1:F1"/>
    <mergeCell ref="J1:K1"/>
    <mergeCell ref="B10:C10"/>
  </mergeCells>
  <hyperlinks>
    <hyperlink ref="G1" location="Inventory!A1" display="Inventory" xr:uid="{00000000-0004-0000-0600-000000000000}"/>
  </hyperlinks>
  <pageMargins left="0.75" right="0.75" top="1" bottom="1" header="0.5" footer="0.5"/>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S30"/>
  <sheetViews>
    <sheetView showGridLines="0" zoomScaleNormal="100" zoomScaleSheetLayoutView="100" workbookViewId="0">
      <selection activeCell="E1" sqref="E1"/>
    </sheetView>
  </sheetViews>
  <sheetFormatPr defaultRowHeight="11.25" x14ac:dyDescent="0.2"/>
  <cols>
    <col min="1" max="1" width="45.5703125" style="298" bestFit="1" customWidth="1"/>
    <col min="2" max="2" width="7.42578125" style="298" customWidth="1"/>
    <col min="3" max="4" width="7.42578125" style="310" customWidth="1"/>
    <col min="5" max="8" width="7.42578125" style="311" customWidth="1"/>
    <col min="9" max="13" width="5.7109375" style="311" customWidth="1"/>
    <col min="14" max="15" width="5.7109375" style="312" customWidth="1"/>
    <col min="16" max="27" width="5.7109375" style="298" customWidth="1"/>
    <col min="28" max="16384" width="9.140625" style="298"/>
  </cols>
  <sheetData>
    <row r="1" spans="1:28" s="303" customFormat="1" ht="18.75" x14ac:dyDescent="0.3">
      <c r="A1" s="504" t="s">
        <v>43</v>
      </c>
      <c r="B1" s="504"/>
      <c r="C1" s="504"/>
      <c r="D1" s="504"/>
      <c r="E1" s="302" t="s">
        <v>46</v>
      </c>
      <c r="G1" s="304" t="s">
        <v>47</v>
      </c>
      <c r="H1" s="505">
        <v>44835</v>
      </c>
      <c r="I1" s="505"/>
      <c r="L1" s="305"/>
      <c r="M1" s="305"/>
      <c r="N1" s="306"/>
      <c r="O1" s="306"/>
      <c r="AA1" s="367" t="s">
        <v>48</v>
      </c>
      <c r="AB1" s="366">
        <v>2.0499999999999998</v>
      </c>
    </row>
    <row r="2" spans="1:28" s="309" customFormat="1" ht="12" x14ac:dyDescent="0.2">
      <c r="A2" s="410"/>
      <c r="B2" s="315" t="s">
        <v>228</v>
      </c>
      <c r="C2" s="410"/>
      <c r="D2" s="410"/>
      <c r="E2" s="411"/>
      <c r="G2" s="412"/>
      <c r="H2" s="413"/>
      <c r="I2" s="413"/>
      <c r="L2" s="414"/>
      <c r="M2" s="414"/>
      <c r="N2" s="415"/>
      <c r="O2" s="415"/>
      <c r="AA2" s="313"/>
      <c r="AB2" s="416"/>
    </row>
    <row r="3" spans="1:28" s="309" customFormat="1" ht="12" x14ac:dyDescent="0.2">
      <c r="A3" s="313" t="s">
        <v>229</v>
      </c>
      <c r="B3" s="314" t="s">
        <v>35</v>
      </c>
      <c r="C3" s="417"/>
      <c r="D3" s="417"/>
      <c r="E3" s="414"/>
      <c r="F3" s="414"/>
      <c r="G3" s="414"/>
      <c r="H3" s="414"/>
      <c r="I3" s="414"/>
      <c r="J3" s="414"/>
      <c r="K3" s="414"/>
      <c r="L3" s="414"/>
      <c r="M3" s="414"/>
      <c r="N3" s="415"/>
      <c r="O3" s="415"/>
    </row>
    <row r="4" spans="1:28" s="309" customFormat="1" ht="12" x14ac:dyDescent="0.2">
      <c r="A4" s="313" t="s">
        <v>230</v>
      </c>
      <c r="B4" s="314">
        <v>2</v>
      </c>
      <c r="C4" s="417"/>
      <c r="D4" s="417"/>
      <c r="E4" s="414"/>
      <c r="F4" s="414"/>
      <c r="G4" s="414"/>
      <c r="H4" s="414"/>
      <c r="I4" s="414"/>
      <c r="J4" s="414"/>
      <c r="K4" s="414"/>
      <c r="L4" s="414"/>
      <c r="M4" s="414"/>
      <c r="N4" s="415"/>
      <c r="O4" s="415"/>
    </row>
    <row r="5" spans="1:28" s="309" customFormat="1" ht="12" x14ac:dyDescent="0.2">
      <c r="A5" s="313" t="s">
        <v>231</v>
      </c>
      <c r="B5" s="314">
        <v>4</v>
      </c>
      <c r="C5" s="417"/>
      <c r="D5" s="417"/>
      <c r="E5" s="414"/>
      <c r="F5" s="414"/>
      <c r="G5" s="414"/>
      <c r="H5" s="414"/>
      <c r="I5" s="414"/>
      <c r="J5" s="414"/>
      <c r="K5" s="414"/>
      <c r="L5" s="414"/>
      <c r="M5" s="414"/>
      <c r="N5" s="415"/>
      <c r="O5" s="415"/>
    </row>
    <row r="6" spans="1:28" s="309" customFormat="1" ht="12" x14ac:dyDescent="0.2">
      <c r="A6" s="313" t="s">
        <v>232</v>
      </c>
      <c r="B6" s="314">
        <v>1</v>
      </c>
      <c r="C6" s="417"/>
      <c r="D6" s="417"/>
      <c r="E6" s="414"/>
      <c r="F6" s="414"/>
      <c r="G6" s="414"/>
      <c r="H6" s="414"/>
      <c r="I6" s="414"/>
      <c r="J6" s="414"/>
      <c r="K6" s="414"/>
      <c r="L6" s="414"/>
      <c r="M6" s="414"/>
      <c r="N6" s="415"/>
      <c r="O6" s="415"/>
    </row>
    <row r="7" spans="1:28" s="309" customFormat="1" ht="12" x14ac:dyDescent="0.2">
      <c r="A7" s="313"/>
      <c r="B7" s="308"/>
      <c r="C7" s="417"/>
      <c r="D7" s="417"/>
      <c r="E7" s="414"/>
      <c r="F7" s="414"/>
      <c r="G7" s="414"/>
      <c r="H7" s="414"/>
      <c r="I7" s="414"/>
      <c r="J7" s="414"/>
      <c r="K7" s="414"/>
      <c r="L7" s="414"/>
      <c r="M7" s="414"/>
      <c r="N7" s="415"/>
      <c r="O7" s="415"/>
    </row>
    <row r="8" spans="1:28" s="309" customFormat="1" ht="12" x14ac:dyDescent="0.2">
      <c r="A8" s="313"/>
      <c r="B8" s="308"/>
      <c r="C8" s="417"/>
      <c r="D8" s="417"/>
      <c r="E8" s="414"/>
      <c r="F8" s="414"/>
      <c r="G8" s="414"/>
      <c r="H8" s="414"/>
      <c r="I8" s="414"/>
      <c r="J8" s="414"/>
      <c r="K8" s="414"/>
      <c r="L8" s="414"/>
      <c r="M8" s="414"/>
      <c r="N8" s="415"/>
      <c r="O8" s="415"/>
    </row>
    <row r="9" spans="1:28" s="309" customFormat="1" ht="12" x14ac:dyDescent="0.2">
      <c r="A9" s="313"/>
      <c r="B9" s="308"/>
      <c r="C9" s="417"/>
      <c r="D9" s="417"/>
      <c r="E9" s="414"/>
      <c r="F9" s="414"/>
      <c r="G9" s="414"/>
      <c r="H9" s="414"/>
      <c r="I9" s="414"/>
      <c r="J9" s="414"/>
      <c r="K9" s="414"/>
      <c r="L9" s="414"/>
      <c r="M9" s="414"/>
      <c r="N9" s="415"/>
      <c r="O9" s="415"/>
    </row>
    <row r="10" spans="1:28" ht="56.25" customHeight="1" x14ac:dyDescent="0.2">
      <c r="A10" s="287" t="s">
        <v>62</v>
      </c>
      <c r="B10" s="23" t="s">
        <v>233</v>
      </c>
      <c r="D10" s="298"/>
    </row>
    <row r="11" spans="1:28" ht="12" x14ac:dyDescent="0.2">
      <c r="A11" s="287" t="s">
        <v>71</v>
      </c>
      <c r="B11" s="318" t="s">
        <v>234</v>
      </c>
      <c r="D11" s="298"/>
    </row>
    <row r="12" spans="1:28" s="320" customFormat="1" ht="12" x14ac:dyDescent="0.2">
      <c r="A12" s="287" t="s">
        <v>99</v>
      </c>
      <c r="B12" s="24">
        <v>1</v>
      </c>
      <c r="C12" s="310"/>
      <c r="E12" s="311"/>
      <c r="F12" s="311"/>
      <c r="G12" s="311"/>
      <c r="H12" s="311"/>
      <c r="I12" s="311"/>
      <c r="J12" s="311"/>
      <c r="K12" s="311"/>
      <c r="L12" s="311"/>
      <c r="M12" s="311"/>
      <c r="N12" s="321"/>
      <c r="O12" s="321"/>
    </row>
    <row r="13" spans="1:28" s="320" customFormat="1" ht="12" x14ac:dyDescent="0.2">
      <c r="A13" s="287" t="s">
        <v>100</v>
      </c>
      <c r="B13" s="24" t="s">
        <v>235</v>
      </c>
      <c r="C13" s="310"/>
      <c r="E13" s="311"/>
      <c r="F13" s="311"/>
      <c r="G13" s="311"/>
      <c r="H13" s="311"/>
      <c r="I13" s="311"/>
      <c r="J13" s="311"/>
      <c r="K13" s="311"/>
      <c r="L13" s="311"/>
      <c r="M13" s="311"/>
      <c r="N13" s="321"/>
      <c r="O13" s="321"/>
    </row>
    <row r="14" spans="1:28" s="320" customFormat="1" ht="12.75" x14ac:dyDescent="0.2">
      <c r="A14" s="102" t="s">
        <v>120</v>
      </c>
      <c r="B14" s="24"/>
      <c r="C14" s="310"/>
      <c r="E14" s="311"/>
      <c r="F14" s="311"/>
      <c r="G14" s="311"/>
      <c r="H14" s="311"/>
      <c r="I14" s="311"/>
      <c r="J14" s="311"/>
      <c r="K14" s="311"/>
      <c r="L14" s="311"/>
      <c r="M14" s="311"/>
      <c r="N14" s="321"/>
      <c r="O14" s="321"/>
    </row>
    <row r="15" spans="1:28" s="320" customFormat="1" ht="12" x14ac:dyDescent="0.2">
      <c r="A15" s="287" t="s">
        <v>121</v>
      </c>
      <c r="B15" s="358">
        <v>1</v>
      </c>
      <c r="C15" s="310"/>
      <c r="E15" s="311"/>
      <c r="F15" s="311"/>
      <c r="G15" s="311"/>
      <c r="H15" s="311"/>
      <c r="I15" s="311"/>
      <c r="J15" s="311"/>
      <c r="K15" s="311"/>
      <c r="L15" s="311"/>
      <c r="M15" s="311"/>
      <c r="N15" s="321"/>
      <c r="O15" s="321"/>
    </row>
    <row r="16" spans="1:28" s="320" customFormat="1" ht="12" x14ac:dyDescent="0.2">
      <c r="A16" s="287" t="s">
        <v>122</v>
      </c>
      <c r="B16" s="358">
        <v>0.75</v>
      </c>
      <c r="C16" s="310"/>
      <c r="E16" s="311"/>
      <c r="F16" s="311"/>
      <c r="G16" s="311"/>
      <c r="H16" s="311"/>
      <c r="I16" s="311"/>
      <c r="J16" s="311"/>
      <c r="K16" s="311"/>
      <c r="L16" s="311"/>
      <c r="M16" s="311"/>
      <c r="N16" s="321"/>
      <c r="O16" s="321"/>
    </row>
    <row r="17" spans="1:45" s="320" customFormat="1" ht="12" x14ac:dyDescent="0.2">
      <c r="A17" s="387" t="s">
        <v>226</v>
      </c>
      <c r="B17" s="358">
        <v>0.25</v>
      </c>
      <c r="C17" s="310"/>
      <c r="E17" s="311"/>
      <c r="F17" s="311"/>
      <c r="G17" s="311"/>
      <c r="H17" s="311"/>
      <c r="I17" s="311"/>
      <c r="J17" s="311"/>
      <c r="K17" s="311"/>
      <c r="L17" s="311"/>
      <c r="M17" s="311"/>
      <c r="N17" s="321"/>
      <c r="O17" s="321"/>
    </row>
    <row r="18" spans="1:45" ht="12.75" x14ac:dyDescent="0.2">
      <c r="A18" s="102" t="s">
        <v>236</v>
      </c>
      <c r="B18" s="324" t="s">
        <v>35</v>
      </c>
      <c r="C18" s="325"/>
      <c r="D18" s="298"/>
      <c r="E18" s="326"/>
      <c r="F18" s="326"/>
      <c r="G18" s="326"/>
      <c r="H18" s="326"/>
      <c r="I18" s="326"/>
      <c r="J18" s="326"/>
      <c r="K18" s="326"/>
      <c r="L18" s="326"/>
      <c r="M18" s="326"/>
      <c r="N18" s="327"/>
      <c r="O18" s="327"/>
      <c r="P18" s="297"/>
      <c r="Q18" s="297"/>
      <c r="R18" s="297"/>
      <c r="S18" s="297"/>
      <c r="T18" s="297"/>
      <c r="U18" s="297"/>
      <c r="V18" s="297"/>
      <c r="W18" s="297"/>
      <c r="X18" s="297"/>
      <c r="Y18" s="297"/>
      <c r="Z18" s="297"/>
      <c r="AA18" s="297"/>
      <c r="AB18" s="297"/>
      <c r="AC18" s="297"/>
      <c r="AD18" s="297"/>
      <c r="AE18" s="297"/>
      <c r="AF18" s="297"/>
      <c r="AG18" s="297"/>
      <c r="AH18" s="297"/>
      <c r="AI18" s="297"/>
      <c r="AJ18" s="297"/>
      <c r="AK18" s="297"/>
      <c r="AL18" s="297"/>
      <c r="AM18" s="297"/>
      <c r="AN18" s="297"/>
      <c r="AO18" s="297"/>
      <c r="AP18" s="297"/>
      <c r="AQ18" s="297"/>
      <c r="AR18" s="297"/>
      <c r="AS18" s="297"/>
    </row>
    <row r="19" spans="1:45" s="300" customFormat="1" ht="12" x14ac:dyDescent="0.2">
      <c r="A19" s="2" t="s">
        <v>124</v>
      </c>
      <c r="B19" s="418">
        <f>SUM(B4:B6)*B15</f>
        <v>7</v>
      </c>
      <c r="C19" s="329"/>
      <c r="D19" s="329"/>
      <c r="E19" s="330"/>
      <c r="F19" s="330"/>
      <c r="G19" s="330"/>
      <c r="H19" s="330"/>
      <c r="I19" s="330"/>
      <c r="J19" s="330"/>
      <c r="K19" s="330"/>
      <c r="L19" s="330"/>
      <c r="M19" s="330"/>
      <c r="N19" s="331"/>
      <c r="O19" s="331"/>
    </row>
    <row r="20" spans="1:45" ht="12" x14ac:dyDescent="0.2">
      <c r="A20" s="2" t="s">
        <v>125</v>
      </c>
      <c r="B20" s="418">
        <f>B19*B16</f>
        <v>5.25</v>
      </c>
      <c r="C20" s="325"/>
      <c r="D20" s="325"/>
      <c r="E20" s="326"/>
      <c r="F20" s="326"/>
      <c r="G20" s="326"/>
      <c r="H20" s="326"/>
      <c r="I20" s="326"/>
      <c r="J20" s="326"/>
      <c r="K20" s="326"/>
      <c r="L20" s="326"/>
      <c r="M20" s="326"/>
      <c r="N20" s="327"/>
      <c r="O20" s="327"/>
      <c r="P20" s="297"/>
      <c r="Q20" s="297"/>
      <c r="R20" s="297"/>
      <c r="S20" s="297"/>
      <c r="T20" s="297"/>
      <c r="U20" s="297"/>
      <c r="V20" s="297"/>
      <c r="W20" s="297"/>
      <c r="X20" s="297"/>
      <c r="Y20" s="297"/>
      <c r="Z20" s="297"/>
      <c r="AA20" s="297"/>
      <c r="AB20" s="297"/>
      <c r="AC20" s="297"/>
      <c r="AD20" s="297"/>
      <c r="AE20" s="297"/>
      <c r="AF20" s="297"/>
      <c r="AG20" s="297"/>
      <c r="AH20" s="297"/>
      <c r="AI20" s="297"/>
      <c r="AJ20" s="297"/>
      <c r="AK20" s="297"/>
      <c r="AL20" s="297"/>
      <c r="AM20" s="297"/>
      <c r="AN20" s="297"/>
      <c r="AO20" s="297"/>
      <c r="AP20" s="297"/>
      <c r="AQ20" s="297"/>
      <c r="AR20" s="297"/>
      <c r="AS20" s="297"/>
    </row>
    <row r="21" spans="1:45" ht="12" x14ac:dyDescent="0.2">
      <c r="A21" s="389" t="s">
        <v>126</v>
      </c>
      <c r="B21" s="419">
        <f>B19*B17</f>
        <v>1.75</v>
      </c>
      <c r="C21" s="325"/>
      <c r="D21" s="325"/>
      <c r="E21" s="326"/>
      <c r="F21" s="326"/>
      <c r="G21" s="326"/>
      <c r="H21" s="326"/>
      <c r="I21" s="326"/>
      <c r="J21" s="326"/>
      <c r="K21" s="326"/>
      <c r="L21" s="326"/>
      <c r="M21" s="326"/>
      <c r="N21" s="327"/>
      <c r="O21" s="32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row>
    <row r="22" spans="1:45" ht="12" x14ac:dyDescent="0.2">
      <c r="A22" s="226" t="s">
        <v>127</v>
      </c>
      <c r="B22" s="408"/>
      <c r="C22" s="325"/>
      <c r="D22" s="325"/>
      <c r="E22" s="326"/>
      <c r="F22" s="326"/>
      <c r="G22" s="326"/>
      <c r="H22" s="326"/>
      <c r="I22" s="326"/>
      <c r="J22" s="326"/>
      <c r="K22" s="326"/>
      <c r="L22" s="326"/>
      <c r="M22" s="326"/>
      <c r="N22" s="327"/>
      <c r="O22" s="327"/>
      <c r="P22" s="297"/>
      <c r="Q22" s="297"/>
      <c r="R22" s="297"/>
      <c r="S22" s="297"/>
      <c r="T22" s="297"/>
      <c r="U22" s="297"/>
      <c r="V22" s="297"/>
      <c r="W22" s="297"/>
      <c r="X22" s="297"/>
      <c r="Y22" s="297"/>
      <c r="Z22" s="297"/>
      <c r="AA22" s="297"/>
      <c r="AB22" s="297"/>
      <c r="AC22" s="297"/>
      <c r="AD22" s="297"/>
      <c r="AE22" s="297"/>
      <c r="AF22" s="297"/>
      <c r="AG22" s="297"/>
      <c r="AH22" s="297"/>
      <c r="AI22" s="297"/>
      <c r="AJ22" s="297"/>
      <c r="AK22" s="297"/>
      <c r="AL22" s="297"/>
      <c r="AM22" s="297"/>
      <c r="AN22" s="297"/>
      <c r="AO22" s="297"/>
      <c r="AP22" s="297"/>
      <c r="AQ22" s="297"/>
      <c r="AR22" s="297"/>
      <c r="AS22" s="297"/>
    </row>
    <row r="23" spans="1:45" ht="12" x14ac:dyDescent="0.2">
      <c r="A23" s="407" t="s">
        <v>128</v>
      </c>
      <c r="B23" s="409" t="s">
        <v>225</v>
      </c>
      <c r="C23" s="325"/>
      <c r="D23" s="325"/>
      <c r="E23" s="326"/>
      <c r="F23" s="326"/>
      <c r="G23" s="326"/>
      <c r="H23" s="326"/>
      <c r="I23" s="326"/>
      <c r="J23" s="326"/>
      <c r="K23" s="326"/>
      <c r="L23" s="326"/>
      <c r="M23" s="326"/>
      <c r="N23" s="327"/>
      <c r="O23" s="32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297"/>
      <c r="AQ23" s="297"/>
      <c r="AR23" s="297"/>
      <c r="AS23" s="297"/>
    </row>
    <row r="24" spans="1:45" ht="12" x14ac:dyDescent="0.2">
      <c r="A24" s="407" t="s">
        <v>129</v>
      </c>
      <c r="B24" s="408" t="s">
        <v>225</v>
      </c>
      <c r="C24" s="325"/>
      <c r="D24" s="325"/>
      <c r="E24" s="326"/>
      <c r="F24" s="326"/>
      <c r="G24" s="326"/>
      <c r="H24" s="326"/>
      <c r="I24" s="326"/>
      <c r="J24" s="326"/>
      <c r="K24" s="326"/>
      <c r="L24" s="326"/>
      <c r="M24" s="326"/>
      <c r="N24" s="327"/>
      <c r="O24" s="32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297"/>
      <c r="AQ24" s="297"/>
      <c r="AR24" s="297"/>
      <c r="AS24" s="297"/>
    </row>
    <row r="25" spans="1:45" ht="12" x14ac:dyDescent="0.2">
      <c r="A25" s="407" t="s">
        <v>130</v>
      </c>
      <c r="B25" s="408" t="s">
        <v>225</v>
      </c>
      <c r="C25" s="325"/>
      <c r="D25" s="325"/>
      <c r="E25" s="326"/>
      <c r="F25" s="326"/>
      <c r="G25" s="326"/>
      <c r="H25" s="326"/>
      <c r="I25" s="326"/>
      <c r="J25" s="326"/>
      <c r="K25" s="326"/>
      <c r="L25" s="326"/>
      <c r="M25" s="326"/>
      <c r="N25" s="327"/>
      <c r="O25" s="32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7"/>
      <c r="AQ25" s="297"/>
      <c r="AR25" s="297"/>
      <c r="AS25" s="297"/>
    </row>
    <row r="26" spans="1:45" ht="12" x14ac:dyDescent="0.2">
      <c r="A26" s="407" t="s">
        <v>131</v>
      </c>
      <c r="B26" s="408" t="s">
        <v>225</v>
      </c>
      <c r="C26" s="325"/>
      <c r="D26" s="325"/>
      <c r="E26" s="326"/>
      <c r="F26" s="326"/>
      <c r="G26" s="326"/>
      <c r="H26" s="326"/>
      <c r="I26" s="326"/>
      <c r="J26" s="326"/>
      <c r="K26" s="326"/>
      <c r="L26" s="326"/>
      <c r="M26" s="326"/>
      <c r="N26" s="327"/>
      <c r="O26" s="32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297"/>
      <c r="AQ26" s="297"/>
      <c r="AR26" s="297"/>
      <c r="AS26" s="297"/>
    </row>
    <row r="27" spans="1:45" ht="12" x14ac:dyDescent="0.2">
      <c r="A27" s="407" t="s">
        <v>132</v>
      </c>
      <c r="B27" s="408" t="s">
        <v>225</v>
      </c>
      <c r="C27" s="325"/>
      <c r="D27" s="325"/>
      <c r="E27" s="326"/>
      <c r="F27" s="326"/>
      <c r="G27" s="326"/>
      <c r="H27" s="326"/>
      <c r="I27" s="326"/>
      <c r="J27" s="326"/>
      <c r="K27" s="326"/>
      <c r="L27" s="326"/>
      <c r="M27" s="326"/>
      <c r="N27" s="327"/>
      <c r="O27" s="32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297"/>
      <c r="AP27" s="297"/>
      <c r="AQ27" s="297"/>
      <c r="AR27" s="297"/>
      <c r="AS27" s="297"/>
    </row>
    <row r="28" spans="1:45" ht="12" x14ac:dyDescent="0.2">
      <c r="A28" s="407" t="s">
        <v>133</v>
      </c>
      <c r="B28" s="408" t="s">
        <v>225</v>
      </c>
      <c r="C28" s="325"/>
      <c r="D28" s="325"/>
      <c r="E28" s="326"/>
      <c r="F28" s="326"/>
      <c r="G28" s="326"/>
      <c r="H28" s="326"/>
      <c r="I28" s="326"/>
      <c r="J28" s="326"/>
      <c r="K28" s="326"/>
      <c r="L28" s="326"/>
      <c r="M28" s="326"/>
      <c r="N28" s="327"/>
      <c r="O28" s="32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297"/>
    </row>
    <row r="29" spans="1:45" ht="12" x14ac:dyDescent="0.2">
      <c r="A29" s="407" t="s">
        <v>134</v>
      </c>
      <c r="B29" s="408" t="s">
        <v>225</v>
      </c>
      <c r="C29" s="325"/>
      <c r="D29" s="325"/>
      <c r="E29" s="326"/>
      <c r="F29" s="326"/>
      <c r="G29" s="326"/>
      <c r="H29" s="326"/>
      <c r="I29" s="326"/>
      <c r="J29" s="326"/>
      <c r="K29" s="326"/>
      <c r="L29" s="326"/>
      <c r="M29" s="326"/>
      <c r="N29" s="327"/>
      <c r="O29" s="32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7"/>
      <c r="AP29" s="297"/>
      <c r="AQ29" s="297"/>
      <c r="AR29" s="297"/>
      <c r="AS29" s="297"/>
    </row>
    <row r="30" spans="1:45" ht="12.75" x14ac:dyDescent="0.2">
      <c r="A30" s="332" t="s">
        <v>135</v>
      </c>
      <c r="B30" s="408" t="s">
        <v>225</v>
      </c>
      <c r="C30" s="325"/>
      <c r="D30" s="325"/>
      <c r="E30" s="326"/>
      <c r="F30" s="326"/>
      <c r="G30" s="326"/>
      <c r="H30" s="326"/>
      <c r="I30" s="326"/>
      <c r="J30" s="326"/>
      <c r="K30" s="326"/>
      <c r="L30" s="326"/>
      <c r="M30" s="326"/>
      <c r="N30" s="327"/>
      <c r="O30" s="327"/>
      <c r="P30" s="297"/>
      <c r="Q30" s="297"/>
      <c r="R30" s="297"/>
      <c r="S30" s="297"/>
      <c r="T30" s="297"/>
      <c r="U30" s="297"/>
      <c r="V30" s="297"/>
      <c r="W30" s="297"/>
      <c r="X30" s="297"/>
      <c r="Y30" s="297"/>
      <c r="Z30" s="297"/>
      <c r="AA30" s="297"/>
      <c r="AB30" s="297"/>
      <c r="AC30" s="297"/>
      <c r="AD30" s="297"/>
      <c r="AE30" s="297"/>
      <c r="AF30" s="297"/>
      <c r="AG30" s="297"/>
      <c r="AH30" s="297"/>
      <c r="AI30" s="297"/>
      <c r="AJ30" s="297"/>
      <c r="AK30" s="297"/>
      <c r="AL30" s="297"/>
      <c r="AM30" s="297"/>
      <c r="AN30" s="297"/>
      <c r="AO30" s="297"/>
      <c r="AP30" s="297"/>
      <c r="AQ30" s="297"/>
      <c r="AR30" s="297"/>
      <c r="AS30" s="297"/>
    </row>
  </sheetData>
  <mergeCells count="2">
    <mergeCell ref="A1:D1"/>
    <mergeCell ref="H1:I1"/>
  </mergeCells>
  <phoneticPr fontId="5" type="noConversion"/>
  <hyperlinks>
    <hyperlink ref="E1" location="Inventory!A1" display="Inventory" xr:uid="{00000000-0004-0000-0700-000000000000}"/>
  </hyperlinks>
  <pageMargins left="0.75" right="0.75" top="1" bottom="1" header="0.5" footer="0.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64"/>
  <sheetViews>
    <sheetView showGridLines="0" workbookViewId="0">
      <selection activeCell="C1" sqref="C1"/>
    </sheetView>
  </sheetViews>
  <sheetFormatPr defaultColWidth="9.140625" defaultRowHeight="12.75" x14ac:dyDescent="0.2"/>
  <cols>
    <col min="1" max="1" width="9.140625" style="430"/>
    <col min="2" max="2" width="12.42578125" style="430" bestFit="1" customWidth="1"/>
    <col min="3" max="3" width="76.5703125" style="430" bestFit="1" customWidth="1"/>
    <col min="4" max="11" width="5.7109375" style="430" customWidth="1"/>
    <col min="12" max="12" width="5.7109375" customWidth="1"/>
    <col min="13" max="13" width="5.7109375" style="430" customWidth="1"/>
    <col min="14" max="16384" width="9.140625" style="430"/>
  </cols>
  <sheetData>
    <row r="1" spans="1:13" ht="15.75" x14ac:dyDescent="0.25">
      <c r="A1" s="427" t="s">
        <v>47</v>
      </c>
      <c r="B1" s="428">
        <v>43435</v>
      </c>
      <c r="C1" s="429" t="s">
        <v>46</v>
      </c>
      <c r="D1" s="508"/>
      <c r="E1" s="508"/>
      <c r="F1" s="508"/>
      <c r="G1" s="508"/>
      <c r="H1" s="508"/>
      <c r="I1" s="508"/>
      <c r="J1" s="508"/>
      <c r="K1" s="508"/>
      <c r="L1" s="508"/>
      <c r="M1" s="508"/>
    </row>
    <row r="2" spans="1:13" s="431" customFormat="1" ht="294" thickBot="1" x14ac:dyDescent="0.25">
      <c r="B2" s="432"/>
      <c r="C2" s="433" t="s">
        <v>237</v>
      </c>
      <c r="D2" s="434" t="s">
        <v>176</v>
      </c>
      <c r="E2" s="435" t="s">
        <v>177</v>
      </c>
      <c r="F2" s="434" t="s">
        <v>238</v>
      </c>
      <c r="G2" s="435" t="s">
        <v>239</v>
      </c>
      <c r="H2" s="434" t="s">
        <v>240</v>
      </c>
      <c r="I2" s="435" t="s">
        <v>241</v>
      </c>
      <c r="J2" s="434" t="s">
        <v>242</v>
      </c>
      <c r="K2" s="435" t="s">
        <v>243</v>
      </c>
      <c r="L2" s="434" t="s">
        <v>244</v>
      </c>
      <c r="M2" s="435" t="s">
        <v>199</v>
      </c>
    </row>
    <row r="3" spans="1:13" s="440" customFormat="1" ht="17.45" customHeight="1" x14ac:dyDescent="0.2">
      <c r="A3" s="509" t="s">
        <v>245</v>
      </c>
      <c r="B3" s="436" t="s">
        <v>246</v>
      </c>
      <c r="C3" s="437" t="s">
        <v>247</v>
      </c>
      <c r="D3" s="438" t="s">
        <v>168</v>
      </c>
      <c r="E3" s="438" t="s">
        <v>168</v>
      </c>
      <c r="F3" s="438" t="s">
        <v>168</v>
      </c>
      <c r="G3" s="438"/>
      <c r="H3" s="438"/>
      <c r="I3" s="438" t="s">
        <v>168</v>
      </c>
      <c r="J3" s="438" t="s">
        <v>168</v>
      </c>
      <c r="K3" s="438" t="s">
        <v>168</v>
      </c>
      <c r="L3" s="438"/>
      <c r="M3" s="439"/>
    </row>
    <row r="4" spans="1:13" s="440" customFormat="1" ht="17.45" customHeight="1" x14ac:dyDescent="0.2">
      <c r="A4" s="510"/>
      <c r="B4" s="441" t="s">
        <v>248</v>
      </c>
      <c r="C4" s="442" t="s">
        <v>249</v>
      </c>
      <c r="D4" s="443" t="s">
        <v>168</v>
      </c>
      <c r="E4" s="443" t="s">
        <v>168</v>
      </c>
      <c r="F4" s="443"/>
      <c r="G4" s="443" t="s">
        <v>168</v>
      </c>
      <c r="H4" s="443" t="s">
        <v>168</v>
      </c>
      <c r="I4" s="443"/>
      <c r="J4" s="443"/>
      <c r="K4" s="443" t="s">
        <v>168</v>
      </c>
      <c r="L4" s="443" t="s">
        <v>168</v>
      </c>
      <c r="M4" s="444" t="s">
        <v>168</v>
      </c>
    </row>
    <row r="5" spans="1:13" s="440" customFormat="1" ht="17.45" customHeight="1" x14ac:dyDescent="0.2">
      <c r="A5" s="510"/>
      <c r="B5" s="441" t="s">
        <v>250</v>
      </c>
      <c r="C5" s="442" t="s">
        <v>251</v>
      </c>
      <c r="D5" s="443" t="s">
        <v>168</v>
      </c>
      <c r="E5" s="443" t="s">
        <v>168</v>
      </c>
      <c r="F5" s="443"/>
      <c r="G5" s="443" t="s">
        <v>168</v>
      </c>
      <c r="H5" s="443"/>
      <c r="I5" s="443"/>
      <c r="J5" s="443"/>
      <c r="K5" s="443" t="s">
        <v>168</v>
      </c>
      <c r="L5" s="443" t="s">
        <v>168</v>
      </c>
      <c r="M5" s="444" t="s">
        <v>168</v>
      </c>
    </row>
    <row r="6" spans="1:13" s="440" customFormat="1" ht="17.45" customHeight="1" x14ac:dyDescent="0.2">
      <c r="A6" s="510"/>
      <c r="B6" s="441" t="s">
        <v>252</v>
      </c>
      <c r="C6" s="442" t="s">
        <v>253</v>
      </c>
      <c r="D6" s="443" t="s">
        <v>168</v>
      </c>
      <c r="E6" s="443" t="s">
        <v>168</v>
      </c>
      <c r="F6" s="443"/>
      <c r="G6" s="443"/>
      <c r="H6" s="443" t="s">
        <v>168</v>
      </c>
      <c r="I6" s="443"/>
      <c r="J6" s="443"/>
      <c r="K6" s="443" t="s">
        <v>168</v>
      </c>
      <c r="L6" s="443"/>
      <c r="M6" s="444"/>
    </row>
    <row r="7" spans="1:13" s="440" customFormat="1" ht="17.45" customHeight="1" x14ac:dyDescent="0.2">
      <c r="A7" s="510"/>
      <c r="B7" s="441" t="s">
        <v>254</v>
      </c>
      <c r="C7" s="442" t="s">
        <v>255</v>
      </c>
      <c r="D7" s="443" t="s">
        <v>168</v>
      </c>
      <c r="E7" s="443" t="s">
        <v>168</v>
      </c>
      <c r="F7" s="443"/>
      <c r="G7" s="443" t="s">
        <v>168</v>
      </c>
      <c r="H7" s="443"/>
      <c r="I7" s="443"/>
      <c r="J7" s="443"/>
      <c r="K7" s="443" t="s">
        <v>168</v>
      </c>
      <c r="L7" s="443" t="s">
        <v>168</v>
      </c>
      <c r="M7" s="444" t="s">
        <v>168</v>
      </c>
    </row>
    <row r="8" spans="1:13" s="440" customFormat="1" ht="17.45" customHeight="1" x14ac:dyDescent="0.2">
      <c r="A8" s="510"/>
      <c r="B8" s="441" t="s">
        <v>256</v>
      </c>
      <c r="C8" s="442" t="s">
        <v>257</v>
      </c>
      <c r="D8" s="443" t="s">
        <v>168</v>
      </c>
      <c r="E8" s="443" t="s">
        <v>168</v>
      </c>
      <c r="F8" s="443"/>
      <c r="G8" s="443" t="s">
        <v>168</v>
      </c>
      <c r="H8" s="443"/>
      <c r="I8" s="443"/>
      <c r="J8" s="443"/>
      <c r="K8" s="443" t="s">
        <v>168</v>
      </c>
      <c r="L8" s="443" t="s">
        <v>168</v>
      </c>
      <c r="M8" s="444" t="s">
        <v>168</v>
      </c>
    </row>
    <row r="9" spans="1:13" s="440" customFormat="1" ht="17.45" customHeight="1" x14ac:dyDescent="0.2">
      <c r="A9" s="510"/>
      <c r="B9" s="441" t="s">
        <v>258</v>
      </c>
      <c r="C9" s="442" t="s">
        <v>259</v>
      </c>
      <c r="D9" s="443" t="s">
        <v>168</v>
      </c>
      <c r="E9" s="443" t="s">
        <v>168</v>
      </c>
      <c r="F9" s="443"/>
      <c r="G9" s="443" t="s">
        <v>168</v>
      </c>
      <c r="H9" s="443" t="s">
        <v>168</v>
      </c>
      <c r="I9" s="443"/>
      <c r="J9" s="443"/>
      <c r="K9" s="443" t="s">
        <v>168</v>
      </c>
      <c r="L9" s="443" t="s">
        <v>168</v>
      </c>
      <c r="M9" s="444" t="s">
        <v>168</v>
      </c>
    </row>
    <row r="10" spans="1:13" s="440" customFormat="1" ht="17.45" customHeight="1" x14ac:dyDescent="0.2">
      <c r="A10" s="510"/>
      <c r="B10" s="441" t="s">
        <v>260</v>
      </c>
      <c r="C10" s="442" t="s">
        <v>261</v>
      </c>
      <c r="D10" s="443" t="s">
        <v>168</v>
      </c>
      <c r="E10" s="443" t="s">
        <v>168</v>
      </c>
      <c r="F10" s="443"/>
      <c r="G10" s="443" t="s">
        <v>168</v>
      </c>
      <c r="H10" s="443" t="s">
        <v>168</v>
      </c>
      <c r="I10" s="443"/>
      <c r="J10" s="443"/>
      <c r="K10" s="443" t="s">
        <v>168</v>
      </c>
      <c r="L10" s="443" t="s">
        <v>168</v>
      </c>
      <c r="M10" s="444" t="s">
        <v>168</v>
      </c>
    </row>
    <row r="11" spans="1:13" s="440" customFormat="1" ht="17.45" customHeight="1" x14ac:dyDescent="0.2">
      <c r="A11" s="510"/>
      <c r="B11" s="441" t="s">
        <v>262</v>
      </c>
      <c r="C11" s="442" t="s">
        <v>263</v>
      </c>
      <c r="D11" s="443" t="s">
        <v>168</v>
      </c>
      <c r="E11" s="443" t="s">
        <v>168</v>
      </c>
      <c r="F11" s="443"/>
      <c r="G11" s="443"/>
      <c r="H11" s="443" t="s">
        <v>168</v>
      </c>
      <c r="I11" s="443"/>
      <c r="J11" s="443"/>
      <c r="K11" s="443" t="s">
        <v>168</v>
      </c>
      <c r="L11" s="443"/>
      <c r="M11" s="444"/>
    </row>
    <row r="12" spans="1:13" s="440" customFormat="1" ht="17.45" customHeight="1" thickBot="1" x14ac:dyDescent="0.25">
      <c r="A12" s="511"/>
      <c r="B12" s="445" t="s">
        <v>264</v>
      </c>
      <c r="C12" s="446" t="s">
        <v>265</v>
      </c>
      <c r="D12" s="447" t="s">
        <v>168</v>
      </c>
      <c r="E12" s="447" t="s">
        <v>168</v>
      </c>
      <c r="F12" s="447"/>
      <c r="G12" s="447"/>
      <c r="H12" s="447"/>
      <c r="I12" s="447"/>
      <c r="J12" s="447"/>
      <c r="K12" s="447" t="s">
        <v>168</v>
      </c>
      <c r="L12" s="447"/>
      <c r="M12" s="448"/>
    </row>
    <row r="13" spans="1:13" ht="11.25" x14ac:dyDescent="0.2">
      <c r="L13" s="430"/>
    </row>
    <row r="14" spans="1:13" ht="11.25" x14ac:dyDescent="0.2">
      <c r="L14" s="430"/>
    </row>
    <row r="15" spans="1:13" ht="11.25" x14ac:dyDescent="0.2">
      <c r="L15" s="430"/>
    </row>
    <row r="16" spans="1:13" ht="11.25" x14ac:dyDescent="0.2">
      <c r="L16" s="430"/>
    </row>
    <row r="17" spans="2:12" ht="11.25" x14ac:dyDescent="0.2">
      <c r="C17" s="449"/>
      <c r="L17" s="430"/>
    </row>
    <row r="18" spans="2:12" ht="11.25" x14ac:dyDescent="0.2">
      <c r="C18" s="449"/>
      <c r="L18" s="430"/>
    </row>
    <row r="19" spans="2:12" ht="11.25" x14ac:dyDescent="0.2">
      <c r="C19" s="449"/>
      <c r="L19" s="430"/>
    </row>
    <row r="20" spans="2:12" ht="11.25" x14ac:dyDescent="0.2">
      <c r="C20" s="449"/>
      <c r="L20" s="430"/>
    </row>
    <row r="21" spans="2:12" ht="11.25" x14ac:dyDescent="0.2">
      <c r="C21" s="449"/>
      <c r="L21" s="430"/>
    </row>
    <row r="22" spans="2:12" ht="11.25" x14ac:dyDescent="0.2">
      <c r="C22" s="449"/>
      <c r="L22" s="430"/>
    </row>
    <row r="23" spans="2:12" ht="11.25" x14ac:dyDescent="0.2">
      <c r="C23" s="449"/>
      <c r="L23" s="430"/>
    </row>
    <row r="24" spans="2:12" ht="11.25" x14ac:dyDescent="0.2">
      <c r="C24" s="449"/>
      <c r="L24" s="430"/>
    </row>
    <row r="25" spans="2:12" ht="11.25" x14ac:dyDescent="0.2">
      <c r="C25" s="449"/>
      <c r="L25" s="430"/>
    </row>
    <row r="26" spans="2:12" ht="11.25" x14ac:dyDescent="0.2">
      <c r="B26" s="449"/>
      <c r="C26" s="449"/>
      <c r="L26" s="430"/>
    </row>
    <row r="27" spans="2:12" ht="11.25" x14ac:dyDescent="0.2">
      <c r="B27" s="449"/>
      <c r="C27" s="449"/>
      <c r="L27" s="430"/>
    </row>
    <row r="28" spans="2:12" ht="11.25" x14ac:dyDescent="0.2">
      <c r="B28" s="449"/>
      <c r="C28" s="449"/>
      <c r="L28" s="430"/>
    </row>
    <row r="29" spans="2:12" ht="11.25" x14ac:dyDescent="0.2">
      <c r="B29" s="449"/>
      <c r="C29" s="449"/>
      <c r="L29" s="430"/>
    </row>
    <row r="30" spans="2:12" ht="11.25" x14ac:dyDescent="0.2">
      <c r="B30" s="449"/>
      <c r="C30" s="449"/>
      <c r="L30" s="430"/>
    </row>
    <row r="31" spans="2:12" ht="11.25" x14ac:dyDescent="0.2">
      <c r="B31" s="449"/>
      <c r="C31" s="449"/>
      <c r="L31" s="430"/>
    </row>
    <row r="32" spans="2:12" ht="11.25" x14ac:dyDescent="0.2">
      <c r="B32" s="449"/>
      <c r="C32" s="449"/>
      <c r="L32" s="430"/>
    </row>
    <row r="33" spans="2:12" ht="11.25" x14ac:dyDescent="0.2">
      <c r="B33" s="449"/>
      <c r="C33" s="449"/>
      <c r="L33" s="430"/>
    </row>
    <row r="34" spans="2:12" x14ac:dyDescent="0.2">
      <c r="B34" s="449"/>
      <c r="C34" s="449"/>
    </row>
    <row r="35" spans="2:12" x14ac:dyDescent="0.2">
      <c r="B35" s="449"/>
      <c r="C35" s="449"/>
    </row>
    <row r="36" spans="2:12" x14ac:dyDescent="0.2">
      <c r="B36" s="449"/>
      <c r="C36" s="449"/>
    </row>
    <row r="37" spans="2:12" x14ac:dyDescent="0.2">
      <c r="B37" s="449"/>
      <c r="C37" s="449"/>
    </row>
    <row r="38" spans="2:12" x14ac:dyDescent="0.2">
      <c r="B38" s="449"/>
      <c r="C38" s="449"/>
    </row>
    <row r="39" spans="2:12" x14ac:dyDescent="0.2">
      <c r="B39" s="449"/>
      <c r="C39" s="449"/>
    </row>
    <row r="40" spans="2:12" x14ac:dyDescent="0.2">
      <c r="B40" s="449"/>
      <c r="C40" s="449"/>
    </row>
    <row r="41" spans="2:12" x14ac:dyDescent="0.2">
      <c r="B41" s="449"/>
      <c r="C41" s="449"/>
    </row>
    <row r="42" spans="2:12" x14ac:dyDescent="0.2">
      <c r="B42" s="449"/>
      <c r="C42" s="449"/>
    </row>
    <row r="43" spans="2:12" x14ac:dyDescent="0.2">
      <c r="B43" s="449"/>
      <c r="C43" s="449"/>
    </row>
    <row r="44" spans="2:12" x14ac:dyDescent="0.2">
      <c r="B44" s="449"/>
      <c r="C44" s="449"/>
    </row>
    <row r="45" spans="2:12" x14ac:dyDescent="0.2">
      <c r="B45" s="449"/>
      <c r="C45" s="449"/>
    </row>
    <row r="46" spans="2:12" x14ac:dyDescent="0.2">
      <c r="B46" s="449"/>
      <c r="C46" s="449"/>
    </row>
    <row r="47" spans="2:12" x14ac:dyDescent="0.2">
      <c r="B47" s="449"/>
      <c r="C47" s="449"/>
    </row>
    <row r="48" spans="2:12" x14ac:dyDescent="0.2">
      <c r="B48" s="449"/>
      <c r="C48" s="449"/>
    </row>
    <row r="49" spans="2:3" x14ac:dyDescent="0.2">
      <c r="B49" s="449"/>
      <c r="C49" s="449"/>
    </row>
    <row r="50" spans="2:3" x14ac:dyDescent="0.2">
      <c r="B50" s="449"/>
      <c r="C50" s="449"/>
    </row>
    <row r="51" spans="2:3" x14ac:dyDescent="0.2">
      <c r="B51" s="449"/>
      <c r="C51" s="449"/>
    </row>
    <row r="52" spans="2:3" x14ac:dyDescent="0.2">
      <c r="B52" s="449"/>
      <c r="C52" s="449"/>
    </row>
    <row r="53" spans="2:3" x14ac:dyDescent="0.2">
      <c r="B53" s="449"/>
      <c r="C53" s="449"/>
    </row>
    <row r="54" spans="2:3" x14ac:dyDescent="0.2">
      <c r="B54" s="449"/>
      <c r="C54" s="449"/>
    </row>
    <row r="55" spans="2:3" x14ac:dyDescent="0.2">
      <c r="B55" s="449"/>
      <c r="C55" s="449"/>
    </row>
    <row r="56" spans="2:3" x14ac:dyDescent="0.2">
      <c r="B56" s="449"/>
      <c r="C56" s="449"/>
    </row>
    <row r="57" spans="2:3" x14ac:dyDescent="0.2">
      <c r="B57" s="449"/>
      <c r="C57" s="449"/>
    </row>
    <row r="58" spans="2:3" x14ac:dyDescent="0.2">
      <c r="B58" s="449"/>
      <c r="C58" s="449"/>
    </row>
    <row r="59" spans="2:3" x14ac:dyDescent="0.2">
      <c r="B59" s="449"/>
      <c r="C59" s="449"/>
    </row>
    <row r="60" spans="2:3" x14ac:dyDescent="0.2">
      <c r="B60" s="449"/>
      <c r="C60" s="449"/>
    </row>
    <row r="61" spans="2:3" x14ac:dyDescent="0.2">
      <c r="B61" s="449"/>
      <c r="C61" s="449"/>
    </row>
    <row r="62" spans="2:3" x14ac:dyDescent="0.2">
      <c r="B62" s="449"/>
      <c r="C62" s="449"/>
    </row>
    <row r="63" spans="2:3" x14ac:dyDescent="0.2">
      <c r="B63" s="449"/>
      <c r="C63" s="449"/>
    </row>
    <row r="64" spans="2:3" x14ac:dyDescent="0.2">
      <c r="B64" s="449"/>
      <c r="C64" s="449"/>
    </row>
  </sheetData>
  <mergeCells count="2">
    <mergeCell ref="D1:M1"/>
    <mergeCell ref="A3:A12"/>
  </mergeCells>
  <conditionalFormatting sqref="D3:M12">
    <cfRule type="cellIs" dxfId="2" priority="2" operator="equal">
      <formula>""</formula>
    </cfRule>
  </conditionalFormatting>
  <hyperlinks>
    <hyperlink ref="C1" location="Inventory!A1" display="Inventory" xr:uid="{00000000-0004-0000-0800-000000000000}"/>
  </hyperlinks>
  <printOptions horizontalCentered="1" verticalCentered="1"/>
  <pageMargins left="0.7" right="0.7" top="0.75" bottom="0.75" header="0.3" footer="0.3"/>
  <pageSetup paperSize="3" scale="8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65"/>
  <sheetViews>
    <sheetView showGridLines="0" workbookViewId="0">
      <selection activeCell="C1" sqref="C1"/>
    </sheetView>
  </sheetViews>
  <sheetFormatPr defaultColWidth="9.140625" defaultRowHeight="12.75" x14ac:dyDescent="0.2"/>
  <cols>
    <col min="1" max="1" width="9.140625" style="430"/>
    <col min="2" max="2" width="12.42578125" style="430" bestFit="1" customWidth="1"/>
    <col min="3" max="3" width="76.5703125" style="430" bestFit="1" customWidth="1"/>
    <col min="4" max="11" width="5.7109375" style="430" customWidth="1"/>
    <col min="12" max="12" width="5.7109375" customWidth="1"/>
    <col min="13" max="13" width="5.7109375" style="430" customWidth="1"/>
    <col min="14" max="16384" width="9.140625" style="430"/>
  </cols>
  <sheetData>
    <row r="1" spans="1:13" ht="15.75" x14ac:dyDescent="0.25">
      <c r="A1" s="427" t="s">
        <v>47</v>
      </c>
      <c r="B1" s="428">
        <v>44228</v>
      </c>
      <c r="C1" s="429" t="s">
        <v>46</v>
      </c>
      <c r="D1" s="508" t="s">
        <v>266</v>
      </c>
      <c r="E1" s="508"/>
      <c r="F1" s="508"/>
      <c r="G1" s="508"/>
      <c r="H1" s="508"/>
      <c r="I1" s="508"/>
      <c r="J1" s="508"/>
      <c r="K1" s="508"/>
      <c r="L1" s="508"/>
      <c r="M1" s="508"/>
    </row>
    <row r="2" spans="1:13" s="431" customFormat="1" ht="256.5" thickBot="1" x14ac:dyDescent="0.25">
      <c r="B2" s="432"/>
      <c r="C2" s="433" t="s">
        <v>267</v>
      </c>
      <c r="D2" s="434" t="s">
        <v>176</v>
      </c>
      <c r="E2" s="435" t="s">
        <v>177</v>
      </c>
      <c r="F2" s="434" t="s">
        <v>268</v>
      </c>
      <c r="G2" s="435" t="s">
        <v>238</v>
      </c>
      <c r="H2" s="434" t="s">
        <v>269</v>
      </c>
      <c r="I2" s="435" t="s">
        <v>240</v>
      </c>
      <c r="J2" s="434" t="s">
        <v>270</v>
      </c>
      <c r="K2" s="435" t="s">
        <v>241</v>
      </c>
      <c r="L2" s="434" t="s">
        <v>242</v>
      </c>
      <c r="M2" s="435" t="s">
        <v>243</v>
      </c>
    </row>
    <row r="3" spans="1:13" s="440" customFormat="1" ht="17.45" customHeight="1" x14ac:dyDescent="0.2">
      <c r="A3" s="509" t="s">
        <v>245</v>
      </c>
      <c r="B3" s="436" t="s">
        <v>246</v>
      </c>
      <c r="C3" s="437" t="s">
        <v>271</v>
      </c>
      <c r="D3" s="438" t="s">
        <v>168</v>
      </c>
      <c r="E3" s="438" t="s">
        <v>168</v>
      </c>
      <c r="F3" s="438"/>
      <c r="G3" s="438" t="s">
        <v>168</v>
      </c>
      <c r="H3" s="438"/>
      <c r="I3" s="438"/>
      <c r="J3" s="438"/>
      <c r="K3" s="438"/>
      <c r="L3" s="438" t="s">
        <v>168</v>
      </c>
      <c r="M3" s="439" t="s">
        <v>168</v>
      </c>
    </row>
    <row r="4" spans="1:13" s="440" customFormat="1" ht="17.45" customHeight="1" x14ac:dyDescent="0.2">
      <c r="A4" s="510"/>
      <c r="B4" s="441" t="s">
        <v>248</v>
      </c>
      <c r="C4" s="442" t="s">
        <v>249</v>
      </c>
      <c r="D4" s="443" t="s">
        <v>168</v>
      </c>
      <c r="E4" s="443" t="s">
        <v>168</v>
      </c>
      <c r="F4" s="443" t="s">
        <v>168</v>
      </c>
      <c r="G4" s="443"/>
      <c r="H4" s="443" t="s">
        <v>168</v>
      </c>
      <c r="I4" s="443" t="s">
        <v>168</v>
      </c>
      <c r="J4" s="443"/>
      <c r="K4" s="443" t="s">
        <v>168</v>
      </c>
      <c r="L4" s="443"/>
      <c r="M4" s="444" t="s">
        <v>168</v>
      </c>
    </row>
    <row r="5" spans="1:13" s="440" customFormat="1" ht="17.45" customHeight="1" x14ac:dyDescent="0.2">
      <c r="A5" s="510"/>
      <c r="B5" s="441" t="s">
        <v>250</v>
      </c>
      <c r="C5" s="442" t="s">
        <v>251</v>
      </c>
      <c r="D5" s="443" t="s">
        <v>168</v>
      </c>
      <c r="E5" s="443" t="s">
        <v>168</v>
      </c>
      <c r="F5" s="443" t="s">
        <v>168</v>
      </c>
      <c r="G5" s="443"/>
      <c r="H5" s="443" t="s">
        <v>168</v>
      </c>
      <c r="I5" s="443"/>
      <c r="J5" s="443"/>
      <c r="K5" s="443" t="s">
        <v>168</v>
      </c>
      <c r="L5" s="443"/>
      <c r="M5" s="444" t="s">
        <v>168</v>
      </c>
    </row>
    <row r="6" spans="1:13" s="440" customFormat="1" ht="17.45" customHeight="1" x14ac:dyDescent="0.2">
      <c r="A6" s="510"/>
      <c r="B6" s="441" t="s">
        <v>252</v>
      </c>
      <c r="C6" s="442" t="s">
        <v>253</v>
      </c>
      <c r="D6" s="443" t="s">
        <v>168</v>
      </c>
      <c r="E6" s="443" t="s">
        <v>168</v>
      </c>
      <c r="F6" s="443" t="s">
        <v>168</v>
      </c>
      <c r="G6" s="443"/>
      <c r="H6" s="443"/>
      <c r="I6" s="443" t="s">
        <v>168</v>
      </c>
      <c r="J6" s="443"/>
      <c r="K6" s="443" t="s">
        <v>168</v>
      </c>
      <c r="L6" s="443"/>
      <c r="M6" s="444" t="s">
        <v>168</v>
      </c>
    </row>
    <row r="7" spans="1:13" s="440" customFormat="1" ht="17.45" customHeight="1" x14ac:dyDescent="0.2">
      <c r="A7" s="510"/>
      <c r="B7" s="441" t="s">
        <v>254</v>
      </c>
      <c r="C7" s="442" t="s">
        <v>255</v>
      </c>
      <c r="D7" s="443" t="s">
        <v>168</v>
      </c>
      <c r="E7" s="443" t="s">
        <v>168</v>
      </c>
      <c r="F7" s="443" t="s">
        <v>168</v>
      </c>
      <c r="G7" s="443"/>
      <c r="H7" s="443" t="s">
        <v>168</v>
      </c>
      <c r="I7" s="443"/>
      <c r="J7" s="443"/>
      <c r="K7" s="443" t="s">
        <v>168</v>
      </c>
      <c r="L7" s="443"/>
      <c r="M7" s="444" t="s">
        <v>168</v>
      </c>
    </row>
    <row r="8" spans="1:13" s="440" customFormat="1" ht="17.45" customHeight="1" x14ac:dyDescent="0.2">
      <c r="A8" s="510"/>
      <c r="B8" s="441" t="s">
        <v>256</v>
      </c>
      <c r="C8" s="442" t="s">
        <v>257</v>
      </c>
      <c r="D8" s="443" t="s">
        <v>168</v>
      </c>
      <c r="E8" s="443" t="s">
        <v>168</v>
      </c>
      <c r="F8" s="443" t="s">
        <v>168</v>
      </c>
      <c r="G8" s="443"/>
      <c r="H8" s="443" t="s">
        <v>168</v>
      </c>
      <c r="I8" s="443"/>
      <c r="J8" s="443"/>
      <c r="K8" s="443" t="s">
        <v>168</v>
      </c>
      <c r="L8" s="443"/>
      <c r="M8" s="444" t="s">
        <v>168</v>
      </c>
    </row>
    <row r="9" spans="1:13" s="440" customFormat="1" ht="17.45" customHeight="1" x14ac:dyDescent="0.2">
      <c r="A9" s="510"/>
      <c r="B9" s="441" t="s">
        <v>258</v>
      </c>
      <c r="C9" s="442" t="s">
        <v>259</v>
      </c>
      <c r="D9" s="443" t="s">
        <v>168</v>
      </c>
      <c r="E9" s="443" t="s">
        <v>168</v>
      </c>
      <c r="F9" s="443" t="s">
        <v>168</v>
      </c>
      <c r="G9" s="443"/>
      <c r="H9" s="443" t="s">
        <v>168</v>
      </c>
      <c r="I9" s="443" t="s">
        <v>168</v>
      </c>
      <c r="J9" s="443"/>
      <c r="K9" s="443" t="s">
        <v>168</v>
      </c>
      <c r="L9" s="443"/>
      <c r="M9" s="444" t="s">
        <v>168</v>
      </c>
    </row>
    <row r="10" spans="1:13" s="440" customFormat="1" ht="17.45" customHeight="1" x14ac:dyDescent="0.2">
      <c r="A10" s="510"/>
      <c r="B10" s="441" t="s">
        <v>272</v>
      </c>
      <c r="C10" s="442" t="s">
        <v>273</v>
      </c>
      <c r="D10" s="443"/>
      <c r="E10" s="443"/>
      <c r="F10" s="443"/>
      <c r="G10" s="443"/>
      <c r="H10" s="443"/>
      <c r="I10" s="443"/>
      <c r="J10" s="443" t="s">
        <v>168</v>
      </c>
      <c r="K10" s="443"/>
      <c r="L10" s="443"/>
      <c r="M10" s="444"/>
    </row>
    <row r="11" spans="1:13" s="440" customFormat="1" ht="17.45" customHeight="1" x14ac:dyDescent="0.2">
      <c r="A11" s="510"/>
      <c r="B11" s="441" t="s">
        <v>260</v>
      </c>
      <c r="C11" s="442" t="s">
        <v>261</v>
      </c>
      <c r="D11" s="443" t="s">
        <v>168</v>
      </c>
      <c r="E11" s="443" t="s">
        <v>168</v>
      </c>
      <c r="F11" s="443" t="s">
        <v>168</v>
      </c>
      <c r="G11" s="443"/>
      <c r="H11" s="443" t="s">
        <v>168</v>
      </c>
      <c r="I11" s="443" t="s">
        <v>168</v>
      </c>
      <c r="J11" s="443"/>
      <c r="K11" s="443" t="s">
        <v>168</v>
      </c>
      <c r="L11" s="443"/>
      <c r="M11" s="444" t="s">
        <v>168</v>
      </c>
    </row>
    <row r="12" spans="1:13" s="440" customFormat="1" ht="17.45" customHeight="1" x14ac:dyDescent="0.2">
      <c r="A12" s="510"/>
      <c r="B12" s="441" t="s">
        <v>262</v>
      </c>
      <c r="C12" s="453" t="s">
        <v>263</v>
      </c>
      <c r="D12" s="443" t="s">
        <v>168</v>
      </c>
      <c r="E12" s="443" t="s">
        <v>168</v>
      </c>
      <c r="F12" s="443" t="s">
        <v>168</v>
      </c>
      <c r="G12" s="443"/>
      <c r="H12" s="443"/>
      <c r="I12" s="443" t="s">
        <v>168</v>
      </c>
      <c r="J12" s="443"/>
      <c r="K12" s="443" t="s">
        <v>168</v>
      </c>
      <c r="L12" s="443"/>
      <c r="M12" s="444" t="s">
        <v>168</v>
      </c>
    </row>
    <row r="13" spans="1:13" s="440" customFormat="1" ht="17.45" customHeight="1" thickBot="1" x14ac:dyDescent="0.25">
      <c r="A13" s="511"/>
      <c r="B13" s="450" t="s">
        <v>264</v>
      </c>
      <c r="C13" s="451" t="s">
        <v>265</v>
      </c>
      <c r="D13" s="452" t="s">
        <v>168</v>
      </c>
      <c r="E13" s="452" t="s">
        <v>168</v>
      </c>
      <c r="F13" s="452" t="s">
        <v>168</v>
      </c>
      <c r="G13" s="452"/>
      <c r="H13" s="452"/>
      <c r="I13" s="452"/>
      <c r="J13" s="452"/>
      <c r="K13" s="452" t="s">
        <v>168</v>
      </c>
      <c r="L13" s="452"/>
      <c r="M13" s="454" t="s">
        <v>168</v>
      </c>
    </row>
    <row r="14" spans="1:13" ht="11.25" x14ac:dyDescent="0.2">
      <c r="L14" s="430"/>
    </row>
    <row r="15" spans="1:13" ht="11.25" x14ac:dyDescent="0.2">
      <c r="L15" s="430"/>
    </row>
    <row r="16" spans="1:13" ht="11.25" x14ac:dyDescent="0.2">
      <c r="L16" s="430"/>
    </row>
    <row r="17" spans="2:12" ht="11.25" x14ac:dyDescent="0.2">
      <c r="L17" s="430"/>
    </row>
    <row r="18" spans="2:12" ht="11.25" x14ac:dyDescent="0.2">
      <c r="C18" s="449"/>
      <c r="L18" s="430"/>
    </row>
    <row r="19" spans="2:12" ht="11.25" x14ac:dyDescent="0.2">
      <c r="C19" s="449"/>
      <c r="L19" s="430"/>
    </row>
    <row r="20" spans="2:12" ht="11.25" x14ac:dyDescent="0.2">
      <c r="C20" s="449"/>
      <c r="L20" s="430"/>
    </row>
    <row r="21" spans="2:12" ht="11.25" x14ac:dyDescent="0.2">
      <c r="C21" s="449"/>
      <c r="L21" s="430"/>
    </row>
    <row r="22" spans="2:12" ht="11.25" x14ac:dyDescent="0.2">
      <c r="C22" s="449"/>
      <c r="L22" s="430"/>
    </row>
    <row r="23" spans="2:12" ht="11.25" x14ac:dyDescent="0.2">
      <c r="C23" s="449"/>
      <c r="L23" s="430"/>
    </row>
    <row r="24" spans="2:12" ht="11.25" x14ac:dyDescent="0.2">
      <c r="C24" s="449"/>
      <c r="L24" s="430"/>
    </row>
    <row r="25" spans="2:12" ht="11.25" x14ac:dyDescent="0.2">
      <c r="C25" s="449"/>
      <c r="L25" s="430"/>
    </row>
    <row r="26" spans="2:12" ht="11.25" x14ac:dyDescent="0.2">
      <c r="C26" s="449"/>
      <c r="L26" s="430"/>
    </row>
    <row r="27" spans="2:12" ht="11.25" x14ac:dyDescent="0.2">
      <c r="B27" s="449"/>
      <c r="C27" s="449"/>
      <c r="L27" s="430"/>
    </row>
    <row r="28" spans="2:12" ht="11.25" x14ac:dyDescent="0.2">
      <c r="B28" s="449"/>
      <c r="C28" s="449"/>
      <c r="L28" s="430"/>
    </row>
    <row r="29" spans="2:12" ht="11.25" x14ac:dyDescent="0.2">
      <c r="B29" s="449"/>
      <c r="C29" s="449"/>
      <c r="L29" s="430"/>
    </row>
    <row r="30" spans="2:12" ht="11.25" x14ac:dyDescent="0.2">
      <c r="B30" s="449"/>
      <c r="C30" s="449"/>
      <c r="L30" s="430"/>
    </row>
    <row r="31" spans="2:12" ht="11.25" x14ac:dyDescent="0.2">
      <c r="B31" s="449"/>
      <c r="C31" s="449"/>
      <c r="L31" s="430"/>
    </row>
    <row r="32" spans="2:12" ht="11.25" x14ac:dyDescent="0.2">
      <c r="B32" s="449"/>
      <c r="C32" s="449"/>
      <c r="L32" s="430"/>
    </row>
    <row r="33" spans="2:12" ht="11.25" x14ac:dyDescent="0.2">
      <c r="B33" s="449"/>
      <c r="C33" s="449"/>
      <c r="L33" s="430"/>
    </row>
    <row r="34" spans="2:12" ht="11.25" x14ac:dyDescent="0.2">
      <c r="B34" s="449"/>
      <c r="C34" s="449"/>
      <c r="L34" s="430"/>
    </row>
    <row r="35" spans="2:12" x14ac:dyDescent="0.2">
      <c r="B35" s="449"/>
      <c r="C35" s="449"/>
    </row>
    <row r="36" spans="2:12" x14ac:dyDescent="0.2">
      <c r="B36" s="449"/>
      <c r="C36" s="449"/>
    </row>
    <row r="37" spans="2:12" x14ac:dyDescent="0.2">
      <c r="B37" s="449"/>
      <c r="C37" s="449"/>
    </row>
    <row r="38" spans="2:12" x14ac:dyDescent="0.2">
      <c r="B38" s="449"/>
      <c r="C38" s="449"/>
    </row>
    <row r="39" spans="2:12" x14ac:dyDescent="0.2">
      <c r="B39" s="449"/>
      <c r="C39" s="449"/>
    </row>
    <row r="40" spans="2:12" x14ac:dyDescent="0.2">
      <c r="B40" s="449"/>
      <c r="C40" s="449"/>
    </row>
    <row r="41" spans="2:12" x14ac:dyDescent="0.2">
      <c r="B41" s="449"/>
      <c r="C41" s="449"/>
    </row>
    <row r="42" spans="2:12" x14ac:dyDescent="0.2">
      <c r="B42" s="449"/>
      <c r="C42" s="449"/>
    </row>
    <row r="43" spans="2:12" x14ac:dyDescent="0.2">
      <c r="B43" s="449"/>
      <c r="C43" s="449"/>
    </row>
    <row r="44" spans="2:12" x14ac:dyDescent="0.2">
      <c r="B44" s="449"/>
      <c r="C44" s="449"/>
    </row>
    <row r="45" spans="2:12" x14ac:dyDescent="0.2">
      <c r="B45" s="449"/>
      <c r="C45" s="449"/>
    </row>
    <row r="46" spans="2:12" x14ac:dyDescent="0.2">
      <c r="B46" s="449"/>
      <c r="C46" s="449"/>
    </row>
    <row r="47" spans="2:12" x14ac:dyDescent="0.2">
      <c r="B47" s="449"/>
      <c r="C47" s="449"/>
    </row>
    <row r="48" spans="2:12" x14ac:dyDescent="0.2">
      <c r="B48" s="449"/>
      <c r="C48" s="449"/>
    </row>
    <row r="49" spans="2:3" x14ac:dyDescent="0.2">
      <c r="B49" s="449"/>
      <c r="C49" s="449"/>
    </row>
    <row r="50" spans="2:3" x14ac:dyDescent="0.2">
      <c r="B50" s="449"/>
      <c r="C50" s="449"/>
    </row>
    <row r="51" spans="2:3" x14ac:dyDescent="0.2">
      <c r="B51" s="449"/>
      <c r="C51" s="449"/>
    </row>
    <row r="52" spans="2:3" x14ac:dyDescent="0.2">
      <c r="B52" s="449"/>
      <c r="C52" s="449"/>
    </row>
    <row r="53" spans="2:3" x14ac:dyDescent="0.2">
      <c r="B53" s="449"/>
      <c r="C53" s="449"/>
    </row>
    <row r="54" spans="2:3" x14ac:dyDescent="0.2">
      <c r="B54" s="449"/>
      <c r="C54" s="449"/>
    </row>
    <row r="55" spans="2:3" x14ac:dyDescent="0.2">
      <c r="B55" s="449"/>
      <c r="C55" s="449"/>
    </row>
    <row r="56" spans="2:3" x14ac:dyDescent="0.2">
      <c r="B56" s="449"/>
      <c r="C56" s="449"/>
    </row>
    <row r="57" spans="2:3" x14ac:dyDescent="0.2">
      <c r="B57" s="449"/>
      <c r="C57" s="449"/>
    </row>
    <row r="58" spans="2:3" x14ac:dyDescent="0.2">
      <c r="B58" s="449"/>
      <c r="C58" s="449"/>
    </row>
    <row r="59" spans="2:3" x14ac:dyDescent="0.2">
      <c r="B59" s="449"/>
      <c r="C59" s="449"/>
    </row>
    <row r="60" spans="2:3" x14ac:dyDescent="0.2">
      <c r="B60" s="449"/>
      <c r="C60" s="449"/>
    </row>
    <row r="61" spans="2:3" x14ac:dyDescent="0.2">
      <c r="B61" s="449"/>
      <c r="C61" s="449"/>
    </row>
    <row r="62" spans="2:3" x14ac:dyDescent="0.2">
      <c r="B62" s="449"/>
      <c r="C62" s="449"/>
    </row>
    <row r="63" spans="2:3" x14ac:dyDescent="0.2">
      <c r="B63" s="449"/>
      <c r="C63" s="449"/>
    </row>
    <row r="64" spans="2:3" x14ac:dyDescent="0.2">
      <c r="B64" s="449"/>
      <c r="C64" s="449"/>
    </row>
    <row r="65" spans="2:3" x14ac:dyDescent="0.2">
      <c r="B65" s="449"/>
      <c r="C65" s="449"/>
    </row>
  </sheetData>
  <mergeCells count="2">
    <mergeCell ref="A3:A13"/>
    <mergeCell ref="D1:M1"/>
  </mergeCells>
  <conditionalFormatting sqref="D3:M12">
    <cfRule type="cellIs" dxfId="1" priority="2" operator="equal">
      <formula>""</formula>
    </cfRule>
  </conditionalFormatting>
  <conditionalFormatting sqref="D13:M13">
    <cfRule type="cellIs" dxfId="0" priority="1" operator="equal">
      <formula>""</formula>
    </cfRule>
  </conditionalFormatting>
  <hyperlinks>
    <hyperlink ref="C1" location="Inventory!A1" display="Inventory" xr:uid="{00000000-0004-0000-0900-000000000000}"/>
  </hyperlinks>
  <printOptions horizontalCentered="1" verticalCentered="1"/>
  <pageMargins left="0.7" right="0.7" top="0.75" bottom="0.75" header="0.3" footer="0.3"/>
  <pageSetup paperSize="3" scale="9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28"/>
  <sheetViews>
    <sheetView showGridLines="0" workbookViewId="0">
      <selection activeCell="H1" sqref="H1"/>
    </sheetView>
  </sheetViews>
  <sheetFormatPr defaultColWidth="9.28515625" defaultRowHeight="15" x14ac:dyDescent="0.25"/>
  <cols>
    <col min="1" max="1" width="50.7109375" style="421" bestFit="1" customWidth="1"/>
    <col min="2" max="2" width="17.85546875" style="421" bestFit="1" customWidth="1"/>
    <col min="3" max="3" width="20.7109375" style="421" bestFit="1" customWidth="1"/>
    <col min="4" max="4" width="23.140625" style="421" bestFit="1" customWidth="1"/>
    <col min="5" max="5" width="50.7109375" style="421" bestFit="1" customWidth="1"/>
    <col min="6" max="6" width="22.7109375" style="421" bestFit="1" customWidth="1"/>
    <col min="7" max="7" width="9.28515625" style="421"/>
    <col min="8" max="8" width="9.7109375" style="421" bestFit="1" customWidth="1"/>
    <col min="9" max="9" width="9.28515625" style="421"/>
    <col min="10" max="10" width="12.7109375" style="421" bestFit="1" customWidth="1"/>
    <col min="11" max="18" width="9.28515625" style="421"/>
    <col min="19" max="19" width="9.7109375" style="421" bestFit="1" customWidth="1"/>
    <col min="20" max="16384" width="9.28515625" style="421"/>
  </cols>
  <sheetData>
    <row r="1" spans="1:10" ht="18.75" x14ac:dyDescent="0.3">
      <c r="A1" s="392" t="s">
        <v>274</v>
      </c>
      <c r="B1" s="393" t="s">
        <v>275</v>
      </c>
      <c r="C1" s="393" t="s">
        <v>179</v>
      </c>
      <c r="D1" s="393" t="s">
        <v>210</v>
      </c>
      <c r="E1" s="392" t="s">
        <v>276</v>
      </c>
      <c r="F1" s="393" t="s">
        <v>218</v>
      </c>
      <c r="H1" s="62" t="s">
        <v>46</v>
      </c>
      <c r="J1" s="406">
        <v>44825</v>
      </c>
    </row>
    <row r="2" spans="1:10" x14ac:dyDescent="0.25">
      <c r="A2" s="420" t="s">
        <v>180</v>
      </c>
      <c r="B2" s="422">
        <f>(LARGE(_xlfn.UNIQUE(B3:B10),1)+LARGE(_xlfn.UNIQUE(B3:B10),2)+LARGE(_xlfn.UNIQUE(B3:B10),3))/3</f>
        <v>0.86338897799648073</v>
      </c>
      <c r="C2" s="422">
        <f>(LARGE(_xlfn.UNIQUE(C3:C10),1)+LARGE(_xlfn.UNIQUE(C3:C10),2)+LARGE(_xlfn.UNIQUE(C3:C10),3))/3</f>
        <v>0.85538791677986536</v>
      </c>
      <c r="D2" s="422">
        <f>(LARGE(_xlfn.UNIQUE(D3:D10),1)+LARGE(_xlfn.UNIQUE(D3:D10),2)+LARGE(_xlfn.UNIQUE(D3:D10),3))/3</f>
        <v>0.8443581969977193</v>
      </c>
      <c r="E2" s="423" t="s">
        <v>277</v>
      </c>
      <c r="F2" s="422">
        <f>(LARGE(_xlfn.UNIQUE(F3:F8),1)+LARGE(_xlfn.UNIQUE(F3:F8),2)+LARGE(_xlfn.UNIQUE(F3:F8),3))/3</f>
        <v>0.84357556007170087</v>
      </c>
    </row>
    <row r="3" spans="1:10" x14ac:dyDescent="0.25">
      <c r="A3" s="423" t="s">
        <v>128</v>
      </c>
      <c r="B3" s="422">
        <v>0.79603803383223526</v>
      </c>
      <c r="C3" s="422">
        <v>0.78402203305274454</v>
      </c>
      <c r="D3" s="422">
        <v>0.76762483954315719</v>
      </c>
      <c r="E3" s="424" t="s">
        <v>278</v>
      </c>
      <c r="F3" s="422">
        <v>0.35704369156975269</v>
      </c>
    </row>
    <row r="4" spans="1:10" x14ac:dyDescent="0.25">
      <c r="A4" s="423" t="s">
        <v>129</v>
      </c>
      <c r="B4" s="422">
        <v>0.38978431053720103</v>
      </c>
      <c r="C4" s="422">
        <v>0.39899536816084674</v>
      </c>
      <c r="D4" s="422">
        <v>0.39768185553673868</v>
      </c>
      <c r="E4" s="424" t="s">
        <v>279</v>
      </c>
      <c r="F4" s="422">
        <v>0.76751923694726887</v>
      </c>
    </row>
    <row r="5" spans="1:10" x14ac:dyDescent="0.25">
      <c r="A5" s="423" t="s">
        <v>130</v>
      </c>
      <c r="B5" s="422">
        <v>0.79412890015720694</v>
      </c>
      <c r="C5" s="422">
        <v>0.78214171728685156</v>
      </c>
      <c r="D5" s="422">
        <v>0.76544975145000071</v>
      </c>
      <c r="E5" s="424" t="s">
        <v>214</v>
      </c>
      <c r="F5" s="422">
        <v>0.76320744326783374</v>
      </c>
    </row>
    <row r="6" spans="1:10" x14ac:dyDescent="0.25">
      <c r="A6" s="423" t="s">
        <v>131</v>
      </c>
      <c r="B6" s="422">
        <v>0.79031063280714986</v>
      </c>
      <c r="C6" s="422">
        <v>0.77838108575506537</v>
      </c>
      <c r="D6" s="422">
        <v>0.76109957526368766</v>
      </c>
      <c r="E6" s="424" t="s">
        <v>215</v>
      </c>
      <c r="F6" s="422">
        <v>0.35704369156975269</v>
      </c>
    </row>
    <row r="7" spans="1:10" x14ac:dyDescent="0.25">
      <c r="A7" s="423" t="s">
        <v>132</v>
      </c>
      <c r="B7" s="422">
        <v>0.38978431053720103</v>
      </c>
      <c r="C7" s="422">
        <v>0.39899536816084674</v>
      </c>
      <c r="D7" s="422">
        <v>0.39768185553673868</v>
      </c>
      <c r="E7" s="424" t="s">
        <v>216</v>
      </c>
      <c r="F7" s="422">
        <v>0.35704369156975269</v>
      </c>
    </row>
    <row r="8" spans="1:10" x14ac:dyDescent="0.25">
      <c r="A8" s="423" t="s">
        <v>133</v>
      </c>
      <c r="B8" s="422">
        <v>0.79603803383223526</v>
      </c>
      <c r="C8" s="422">
        <v>0.78402203305274454</v>
      </c>
      <c r="D8" s="422">
        <v>0.76762483954315719</v>
      </c>
      <c r="E8" s="424" t="s">
        <v>217</v>
      </c>
      <c r="F8" s="422">
        <v>1</v>
      </c>
    </row>
    <row r="9" spans="1:10" x14ac:dyDescent="0.25">
      <c r="A9" s="423" t="s">
        <v>134</v>
      </c>
      <c r="B9" s="422">
        <v>0.38978431053720103</v>
      </c>
      <c r="C9" s="422">
        <v>0.39899536816084674</v>
      </c>
      <c r="D9" s="422">
        <v>0.39768185553673868</v>
      </c>
    </row>
    <row r="10" spans="1:10" x14ac:dyDescent="0.25">
      <c r="A10" s="425" t="s">
        <v>135</v>
      </c>
      <c r="B10" s="422">
        <v>1</v>
      </c>
      <c r="C10" s="422">
        <v>1</v>
      </c>
      <c r="D10" s="422">
        <v>1</v>
      </c>
    </row>
    <row r="24" spans="1:1" ht="15.75" x14ac:dyDescent="0.25">
      <c r="A24" s="392" t="s">
        <v>280</v>
      </c>
    </row>
    <row r="25" spans="1:1" x14ac:dyDescent="0.25">
      <c r="A25" s="426" t="s">
        <v>218</v>
      </c>
    </row>
    <row r="26" spans="1:1" x14ac:dyDescent="0.25">
      <c r="A26" s="426" t="s">
        <v>275</v>
      </c>
    </row>
    <row r="27" spans="1:1" x14ac:dyDescent="0.25">
      <c r="A27" s="426" t="s">
        <v>179</v>
      </c>
    </row>
    <row r="28" spans="1:1" x14ac:dyDescent="0.25">
      <c r="A28" s="426" t="s">
        <v>210</v>
      </c>
    </row>
  </sheetData>
  <hyperlinks>
    <hyperlink ref="H1" location="Inventory!A1" display="Inventory" xr:uid="{00000000-0004-0000-0A00-000000000000}"/>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I73"/>
  <sheetViews>
    <sheetView showGridLines="0" zoomScaleNormal="100" workbookViewId="0">
      <selection activeCell="E2" sqref="E2"/>
    </sheetView>
  </sheetViews>
  <sheetFormatPr defaultRowHeight="12.75" x14ac:dyDescent="0.2"/>
  <cols>
    <col min="1" max="1" width="14.85546875" style="239" bestFit="1" customWidth="1"/>
    <col min="2" max="2" width="21" style="239" customWidth="1"/>
    <col min="3" max="3" width="55.5703125" style="239" bestFit="1" customWidth="1"/>
    <col min="4" max="4" width="70.140625" style="240" customWidth="1"/>
    <col min="5" max="5" width="13.7109375" style="240" bestFit="1" customWidth="1"/>
    <col min="6" max="6" width="151.140625" style="240" bestFit="1" customWidth="1"/>
    <col min="7" max="7" width="7.42578125" style="240" customWidth="1"/>
    <col min="8" max="8" width="14.5703125" style="240" customWidth="1"/>
    <col min="9" max="256" width="9.140625" style="239"/>
    <col min="257" max="257" width="14.85546875" style="239" bestFit="1" customWidth="1"/>
    <col min="258" max="258" width="21" style="239" customWidth="1"/>
    <col min="259" max="259" width="50.85546875" style="239" bestFit="1" customWidth="1"/>
    <col min="260" max="260" width="55.85546875" style="239" bestFit="1" customWidth="1"/>
    <col min="261" max="261" width="26.140625" style="239" customWidth="1"/>
    <col min="262" max="262" width="0" style="239" hidden="1" customWidth="1"/>
    <col min="263" max="263" width="7.42578125" style="239" customWidth="1"/>
    <col min="264" max="264" width="14.5703125" style="239" customWidth="1"/>
    <col min="265" max="512" width="9.140625" style="239"/>
    <col min="513" max="513" width="14.85546875" style="239" bestFit="1" customWidth="1"/>
    <col min="514" max="514" width="21" style="239" customWidth="1"/>
    <col min="515" max="515" width="50.85546875" style="239" bestFit="1" customWidth="1"/>
    <col min="516" max="516" width="55.85546875" style="239" bestFit="1" customWidth="1"/>
    <col min="517" max="517" width="26.140625" style="239" customWidth="1"/>
    <col min="518" max="518" width="0" style="239" hidden="1" customWidth="1"/>
    <col min="519" max="519" width="7.42578125" style="239" customWidth="1"/>
    <col min="520" max="520" width="14.5703125" style="239" customWidth="1"/>
    <col min="521" max="768" width="9.140625" style="239"/>
    <col min="769" max="769" width="14.85546875" style="239" bestFit="1" customWidth="1"/>
    <col min="770" max="770" width="21" style="239" customWidth="1"/>
    <col min="771" max="771" width="50.85546875" style="239" bestFit="1" customWidth="1"/>
    <col min="772" max="772" width="55.85546875" style="239" bestFit="1" customWidth="1"/>
    <col min="773" max="773" width="26.140625" style="239" customWidth="1"/>
    <col min="774" max="774" width="0" style="239" hidden="1" customWidth="1"/>
    <col min="775" max="775" width="7.42578125" style="239" customWidth="1"/>
    <col min="776" max="776" width="14.5703125" style="239" customWidth="1"/>
    <col min="777" max="1024" width="9.140625" style="239"/>
    <col min="1025" max="1025" width="14.85546875" style="239" bestFit="1" customWidth="1"/>
    <col min="1026" max="1026" width="21" style="239" customWidth="1"/>
    <col min="1027" max="1027" width="50.85546875" style="239" bestFit="1" customWidth="1"/>
    <col min="1028" max="1028" width="55.85546875" style="239" bestFit="1" customWidth="1"/>
    <col min="1029" max="1029" width="26.140625" style="239" customWidth="1"/>
    <col min="1030" max="1030" width="0" style="239" hidden="1" customWidth="1"/>
    <col min="1031" max="1031" width="7.42578125" style="239" customWidth="1"/>
    <col min="1032" max="1032" width="14.5703125" style="239" customWidth="1"/>
    <col min="1033" max="1280" width="9.140625" style="239"/>
    <col min="1281" max="1281" width="14.85546875" style="239" bestFit="1" customWidth="1"/>
    <col min="1282" max="1282" width="21" style="239" customWidth="1"/>
    <col min="1283" max="1283" width="50.85546875" style="239" bestFit="1" customWidth="1"/>
    <col min="1284" max="1284" width="55.85546875" style="239" bestFit="1" customWidth="1"/>
    <col min="1285" max="1285" width="26.140625" style="239" customWidth="1"/>
    <col min="1286" max="1286" width="0" style="239" hidden="1" customWidth="1"/>
    <col min="1287" max="1287" width="7.42578125" style="239" customWidth="1"/>
    <col min="1288" max="1288" width="14.5703125" style="239" customWidth="1"/>
    <col min="1289" max="1536" width="9.140625" style="239"/>
    <col min="1537" max="1537" width="14.85546875" style="239" bestFit="1" customWidth="1"/>
    <col min="1538" max="1538" width="21" style="239" customWidth="1"/>
    <col min="1539" max="1539" width="50.85546875" style="239" bestFit="1" customWidth="1"/>
    <col min="1540" max="1540" width="55.85546875" style="239" bestFit="1" customWidth="1"/>
    <col min="1541" max="1541" width="26.140625" style="239" customWidth="1"/>
    <col min="1542" max="1542" width="0" style="239" hidden="1" customWidth="1"/>
    <col min="1543" max="1543" width="7.42578125" style="239" customWidth="1"/>
    <col min="1544" max="1544" width="14.5703125" style="239" customWidth="1"/>
    <col min="1545" max="1792" width="9.140625" style="239"/>
    <col min="1793" max="1793" width="14.85546875" style="239" bestFit="1" customWidth="1"/>
    <col min="1794" max="1794" width="21" style="239" customWidth="1"/>
    <col min="1795" max="1795" width="50.85546875" style="239" bestFit="1" customWidth="1"/>
    <col min="1796" max="1796" width="55.85546875" style="239" bestFit="1" customWidth="1"/>
    <col min="1797" max="1797" width="26.140625" style="239" customWidth="1"/>
    <col min="1798" max="1798" width="0" style="239" hidden="1" customWidth="1"/>
    <col min="1799" max="1799" width="7.42578125" style="239" customWidth="1"/>
    <col min="1800" max="1800" width="14.5703125" style="239" customWidth="1"/>
    <col min="1801" max="2048" width="9.140625" style="239"/>
    <col min="2049" max="2049" width="14.85546875" style="239" bestFit="1" customWidth="1"/>
    <col min="2050" max="2050" width="21" style="239" customWidth="1"/>
    <col min="2051" max="2051" width="50.85546875" style="239" bestFit="1" customWidth="1"/>
    <col min="2052" max="2052" width="55.85546875" style="239" bestFit="1" customWidth="1"/>
    <col min="2053" max="2053" width="26.140625" style="239" customWidth="1"/>
    <col min="2054" max="2054" width="0" style="239" hidden="1" customWidth="1"/>
    <col min="2055" max="2055" width="7.42578125" style="239" customWidth="1"/>
    <col min="2056" max="2056" width="14.5703125" style="239" customWidth="1"/>
    <col min="2057" max="2304" width="9.140625" style="239"/>
    <col min="2305" max="2305" width="14.85546875" style="239" bestFit="1" customWidth="1"/>
    <col min="2306" max="2306" width="21" style="239" customWidth="1"/>
    <col min="2307" max="2307" width="50.85546875" style="239" bestFit="1" customWidth="1"/>
    <col min="2308" max="2308" width="55.85546875" style="239" bestFit="1" customWidth="1"/>
    <col min="2309" max="2309" width="26.140625" style="239" customWidth="1"/>
    <col min="2310" max="2310" width="0" style="239" hidden="1" customWidth="1"/>
    <col min="2311" max="2311" width="7.42578125" style="239" customWidth="1"/>
    <col min="2312" max="2312" width="14.5703125" style="239" customWidth="1"/>
    <col min="2313" max="2560" width="9.140625" style="239"/>
    <col min="2561" max="2561" width="14.85546875" style="239" bestFit="1" customWidth="1"/>
    <col min="2562" max="2562" width="21" style="239" customWidth="1"/>
    <col min="2563" max="2563" width="50.85546875" style="239" bestFit="1" customWidth="1"/>
    <col min="2564" max="2564" width="55.85546875" style="239" bestFit="1" customWidth="1"/>
    <col min="2565" max="2565" width="26.140625" style="239" customWidth="1"/>
    <col min="2566" max="2566" width="0" style="239" hidden="1" customWidth="1"/>
    <col min="2567" max="2567" width="7.42578125" style="239" customWidth="1"/>
    <col min="2568" max="2568" width="14.5703125" style="239" customWidth="1"/>
    <col min="2569" max="2816" width="9.140625" style="239"/>
    <col min="2817" max="2817" width="14.85546875" style="239" bestFit="1" customWidth="1"/>
    <col min="2818" max="2818" width="21" style="239" customWidth="1"/>
    <col min="2819" max="2819" width="50.85546875" style="239" bestFit="1" customWidth="1"/>
    <col min="2820" max="2820" width="55.85546875" style="239" bestFit="1" customWidth="1"/>
    <col min="2821" max="2821" width="26.140625" style="239" customWidth="1"/>
    <col min="2822" max="2822" width="0" style="239" hidden="1" customWidth="1"/>
    <col min="2823" max="2823" width="7.42578125" style="239" customWidth="1"/>
    <col min="2824" max="2824" width="14.5703125" style="239" customWidth="1"/>
    <col min="2825" max="3072" width="9.140625" style="239"/>
    <col min="3073" max="3073" width="14.85546875" style="239" bestFit="1" customWidth="1"/>
    <col min="3074" max="3074" width="21" style="239" customWidth="1"/>
    <col min="3075" max="3075" width="50.85546875" style="239" bestFit="1" customWidth="1"/>
    <col min="3076" max="3076" width="55.85546875" style="239" bestFit="1" customWidth="1"/>
    <col min="3077" max="3077" width="26.140625" style="239" customWidth="1"/>
    <col min="3078" max="3078" width="0" style="239" hidden="1" customWidth="1"/>
    <col min="3079" max="3079" width="7.42578125" style="239" customWidth="1"/>
    <col min="3080" max="3080" width="14.5703125" style="239" customWidth="1"/>
    <col min="3081" max="3328" width="9.140625" style="239"/>
    <col min="3329" max="3329" width="14.85546875" style="239" bestFit="1" customWidth="1"/>
    <col min="3330" max="3330" width="21" style="239" customWidth="1"/>
    <col min="3331" max="3331" width="50.85546875" style="239" bestFit="1" customWidth="1"/>
    <col min="3332" max="3332" width="55.85546875" style="239" bestFit="1" customWidth="1"/>
    <col min="3333" max="3333" width="26.140625" style="239" customWidth="1"/>
    <col min="3334" max="3334" width="0" style="239" hidden="1" customWidth="1"/>
    <col min="3335" max="3335" width="7.42578125" style="239" customWidth="1"/>
    <col min="3336" max="3336" width="14.5703125" style="239" customWidth="1"/>
    <col min="3337" max="3584" width="9.140625" style="239"/>
    <col min="3585" max="3585" width="14.85546875" style="239" bestFit="1" customWidth="1"/>
    <col min="3586" max="3586" width="21" style="239" customWidth="1"/>
    <col min="3587" max="3587" width="50.85546875" style="239" bestFit="1" customWidth="1"/>
    <col min="3588" max="3588" width="55.85546875" style="239" bestFit="1" customWidth="1"/>
    <col min="3589" max="3589" width="26.140625" style="239" customWidth="1"/>
    <col min="3590" max="3590" width="0" style="239" hidden="1" customWidth="1"/>
    <col min="3591" max="3591" width="7.42578125" style="239" customWidth="1"/>
    <col min="3592" max="3592" width="14.5703125" style="239" customWidth="1"/>
    <col min="3593" max="3840" width="9.140625" style="239"/>
    <col min="3841" max="3841" width="14.85546875" style="239" bestFit="1" customWidth="1"/>
    <col min="3842" max="3842" width="21" style="239" customWidth="1"/>
    <col min="3843" max="3843" width="50.85546875" style="239" bestFit="1" customWidth="1"/>
    <col min="3844" max="3844" width="55.85546875" style="239" bestFit="1" customWidth="1"/>
    <col min="3845" max="3845" width="26.140625" style="239" customWidth="1"/>
    <col min="3846" max="3846" width="0" style="239" hidden="1" customWidth="1"/>
    <col min="3847" max="3847" width="7.42578125" style="239" customWidth="1"/>
    <col min="3848" max="3848" width="14.5703125" style="239" customWidth="1"/>
    <col min="3849" max="4096" width="9.140625" style="239"/>
    <col min="4097" max="4097" width="14.85546875" style="239" bestFit="1" customWidth="1"/>
    <col min="4098" max="4098" width="21" style="239" customWidth="1"/>
    <col min="4099" max="4099" width="50.85546875" style="239" bestFit="1" customWidth="1"/>
    <col min="4100" max="4100" width="55.85546875" style="239" bestFit="1" customWidth="1"/>
    <col min="4101" max="4101" width="26.140625" style="239" customWidth="1"/>
    <col min="4102" max="4102" width="0" style="239" hidden="1" customWidth="1"/>
    <col min="4103" max="4103" width="7.42578125" style="239" customWidth="1"/>
    <col min="4104" max="4104" width="14.5703125" style="239" customWidth="1"/>
    <col min="4105" max="4352" width="9.140625" style="239"/>
    <col min="4353" max="4353" width="14.85546875" style="239" bestFit="1" customWidth="1"/>
    <col min="4354" max="4354" width="21" style="239" customWidth="1"/>
    <col min="4355" max="4355" width="50.85546875" style="239" bestFit="1" customWidth="1"/>
    <col min="4356" max="4356" width="55.85546875" style="239" bestFit="1" customWidth="1"/>
    <col min="4357" max="4357" width="26.140625" style="239" customWidth="1"/>
    <col min="4358" max="4358" width="0" style="239" hidden="1" customWidth="1"/>
    <col min="4359" max="4359" width="7.42578125" style="239" customWidth="1"/>
    <col min="4360" max="4360" width="14.5703125" style="239" customWidth="1"/>
    <col min="4361" max="4608" width="9.140625" style="239"/>
    <col min="4609" max="4609" width="14.85546875" style="239" bestFit="1" customWidth="1"/>
    <col min="4610" max="4610" width="21" style="239" customWidth="1"/>
    <col min="4611" max="4611" width="50.85546875" style="239" bestFit="1" customWidth="1"/>
    <col min="4612" max="4612" width="55.85546875" style="239" bestFit="1" customWidth="1"/>
    <col min="4613" max="4613" width="26.140625" style="239" customWidth="1"/>
    <col min="4614" max="4614" width="0" style="239" hidden="1" customWidth="1"/>
    <col min="4615" max="4615" width="7.42578125" style="239" customWidth="1"/>
    <col min="4616" max="4616" width="14.5703125" style="239" customWidth="1"/>
    <col min="4617" max="4864" width="9.140625" style="239"/>
    <col min="4865" max="4865" width="14.85546875" style="239" bestFit="1" customWidth="1"/>
    <col min="4866" max="4866" width="21" style="239" customWidth="1"/>
    <col min="4867" max="4867" width="50.85546875" style="239" bestFit="1" customWidth="1"/>
    <col min="4868" max="4868" width="55.85546875" style="239" bestFit="1" customWidth="1"/>
    <col min="4869" max="4869" width="26.140625" style="239" customWidth="1"/>
    <col min="4870" max="4870" width="0" style="239" hidden="1" customWidth="1"/>
    <col min="4871" max="4871" width="7.42578125" style="239" customWidth="1"/>
    <col min="4872" max="4872" width="14.5703125" style="239" customWidth="1"/>
    <col min="4873" max="5120" width="9.140625" style="239"/>
    <col min="5121" max="5121" width="14.85546875" style="239" bestFit="1" customWidth="1"/>
    <col min="5122" max="5122" width="21" style="239" customWidth="1"/>
    <col min="5123" max="5123" width="50.85546875" style="239" bestFit="1" customWidth="1"/>
    <col min="5124" max="5124" width="55.85546875" style="239" bestFit="1" customWidth="1"/>
    <col min="5125" max="5125" width="26.140625" style="239" customWidth="1"/>
    <col min="5126" max="5126" width="0" style="239" hidden="1" customWidth="1"/>
    <col min="5127" max="5127" width="7.42578125" style="239" customWidth="1"/>
    <col min="5128" max="5128" width="14.5703125" style="239" customWidth="1"/>
    <col min="5129" max="5376" width="9.140625" style="239"/>
    <col min="5377" max="5377" width="14.85546875" style="239" bestFit="1" customWidth="1"/>
    <col min="5378" max="5378" width="21" style="239" customWidth="1"/>
    <col min="5379" max="5379" width="50.85546875" style="239" bestFit="1" customWidth="1"/>
    <col min="5380" max="5380" width="55.85546875" style="239" bestFit="1" customWidth="1"/>
    <col min="5381" max="5381" width="26.140625" style="239" customWidth="1"/>
    <col min="5382" max="5382" width="0" style="239" hidden="1" customWidth="1"/>
    <col min="5383" max="5383" width="7.42578125" style="239" customWidth="1"/>
    <col min="5384" max="5384" width="14.5703125" style="239" customWidth="1"/>
    <col min="5385" max="5632" width="9.140625" style="239"/>
    <col min="5633" max="5633" width="14.85546875" style="239" bestFit="1" customWidth="1"/>
    <col min="5634" max="5634" width="21" style="239" customWidth="1"/>
    <col min="5635" max="5635" width="50.85546875" style="239" bestFit="1" customWidth="1"/>
    <col min="5636" max="5636" width="55.85546875" style="239" bestFit="1" customWidth="1"/>
    <col min="5637" max="5637" width="26.140625" style="239" customWidth="1"/>
    <col min="5638" max="5638" width="0" style="239" hidden="1" customWidth="1"/>
    <col min="5639" max="5639" width="7.42578125" style="239" customWidth="1"/>
    <col min="5640" max="5640" width="14.5703125" style="239" customWidth="1"/>
    <col min="5641" max="5888" width="9.140625" style="239"/>
    <col min="5889" max="5889" width="14.85546875" style="239" bestFit="1" customWidth="1"/>
    <col min="5890" max="5890" width="21" style="239" customWidth="1"/>
    <col min="5891" max="5891" width="50.85546875" style="239" bestFit="1" customWidth="1"/>
    <col min="5892" max="5892" width="55.85546875" style="239" bestFit="1" customWidth="1"/>
    <col min="5893" max="5893" width="26.140625" style="239" customWidth="1"/>
    <col min="5894" max="5894" width="0" style="239" hidden="1" customWidth="1"/>
    <col min="5895" max="5895" width="7.42578125" style="239" customWidth="1"/>
    <col min="5896" max="5896" width="14.5703125" style="239" customWidth="1"/>
    <col min="5897" max="6144" width="9.140625" style="239"/>
    <col min="6145" max="6145" width="14.85546875" style="239" bestFit="1" customWidth="1"/>
    <col min="6146" max="6146" width="21" style="239" customWidth="1"/>
    <col min="6147" max="6147" width="50.85546875" style="239" bestFit="1" customWidth="1"/>
    <col min="6148" max="6148" width="55.85546875" style="239" bestFit="1" customWidth="1"/>
    <col min="6149" max="6149" width="26.140625" style="239" customWidth="1"/>
    <col min="6150" max="6150" width="0" style="239" hidden="1" customWidth="1"/>
    <col min="6151" max="6151" width="7.42578125" style="239" customWidth="1"/>
    <col min="6152" max="6152" width="14.5703125" style="239" customWidth="1"/>
    <col min="6153" max="6400" width="9.140625" style="239"/>
    <col min="6401" max="6401" width="14.85546875" style="239" bestFit="1" customWidth="1"/>
    <col min="6402" max="6402" width="21" style="239" customWidth="1"/>
    <col min="6403" max="6403" width="50.85546875" style="239" bestFit="1" customWidth="1"/>
    <col min="6404" max="6404" width="55.85546875" style="239" bestFit="1" customWidth="1"/>
    <col min="6405" max="6405" width="26.140625" style="239" customWidth="1"/>
    <col min="6406" max="6406" width="0" style="239" hidden="1" customWidth="1"/>
    <col min="6407" max="6407" width="7.42578125" style="239" customWidth="1"/>
    <col min="6408" max="6408" width="14.5703125" style="239" customWidth="1"/>
    <col min="6409" max="6656" width="9.140625" style="239"/>
    <col min="6657" max="6657" width="14.85546875" style="239" bestFit="1" customWidth="1"/>
    <col min="6658" max="6658" width="21" style="239" customWidth="1"/>
    <col min="6659" max="6659" width="50.85546875" style="239" bestFit="1" customWidth="1"/>
    <col min="6660" max="6660" width="55.85546875" style="239" bestFit="1" customWidth="1"/>
    <col min="6661" max="6661" width="26.140625" style="239" customWidth="1"/>
    <col min="6662" max="6662" width="0" style="239" hidden="1" customWidth="1"/>
    <col min="6663" max="6663" width="7.42578125" style="239" customWidth="1"/>
    <col min="6664" max="6664" width="14.5703125" style="239" customWidth="1"/>
    <col min="6665" max="6912" width="9.140625" style="239"/>
    <col min="6913" max="6913" width="14.85546875" style="239" bestFit="1" customWidth="1"/>
    <col min="6914" max="6914" width="21" style="239" customWidth="1"/>
    <col min="6915" max="6915" width="50.85546875" style="239" bestFit="1" customWidth="1"/>
    <col min="6916" max="6916" width="55.85546875" style="239" bestFit="1" customWidth="1"/>
    <col min="6917" max="6917" width="26.140625" style="239" customWidth="1"/>
    <col min="6918" max="6918" width="0" style="239" hidden="1" customWidth="1"/>
    <col min="6919" max="6919" width="7.42578125" style="239" customWidth="1"/>
    <col min="6920" max="6920" width="14.5703125" style="239" customWidth="1"/>
    <col min="6921" max="7168" width="9.140625" style="239"/>
    <col min="7169" max="7169" width="14.85546875" style="239" bestFit="1" customWidth="1"/>
    <col min="7170" max="7170" width="21" style="239" customWidth="1"/>
    <col min="7171" max="7171" width="50.85546875" style="239" bestFit="1" customWidth="1"/>
    <col min="7172" max="7172" width="55.85546875" style="239" bestFit="1" customWidth="1"/>
    <col min="7173" max="7173" width="26.140625" style="239" customWidth="1"/>
    <col min="7174" max="7174" width="0" style="239" hidden="1" customWidth="1"/>
    <col min="7175" max="7175" width="7.42578125" style="239" customWidth="1"/>
    <col min="7176" max="7176" width="14.5703125" style="239" customWidth="1"/>
    <col min="7177" max="7424" width="9.140625" style="239"/>
    <col min="7425" max="7425" width="14.85546875" style="239" bestFit="1" customWidth="1"/>
    <col min="7426" max="7426" width="21" style="239" customWidth="1"/>
    <col min="7427" max="7427" width="50.85546875" style="239" bestFit="1" customWidth="1"/>
    <col min="7428" max="7428" width="55.85546875" style="239" bestFit="1" customWidth="1"/>
    <col min="7429" max="7429" width="26.140625" style="239" customWidth="1"/>
    <col min="7430" max="7430" width="0" style="239" hidden="1" customWidth="1"/>
    <col min="7431" max="7431" width="7.42578125" style="239" customWidth="1"/>
    <col min="7432" max="7432" width="14.5703125" style="239" customWidth="1"/>
    <col min="7433" max="7680" width="9.140625" style="239"/>
    <col min="7681" max="7681" width="14.85546875" style="239" bestFit="1" customWidth="1"/>
    <col min="7682" max="7682" width="21" style="239" customWidth="1"/>
    <col min="7683" max="7683" width="50.85546875" style="239" bestFit="1" customWidth="1"/>
    <col min="7684" max="7684" width="55.85546875" style="239" bestFit="1" customWidth="1"/>
    <col min="7685" max="7685" width="26.140625" style="239" customWidth="1"/>
    <col min="7686" max="7686" width="0" style="239" hidden="1" customWidth="1"/>
    <col min="7687" max="7687" width="7.42578125" style="239" customWidth="1"/>
    <col min="7688" max="7688" width="14.5703125" style="239" customWidth="1"/>
    <col min="7689" max="7936" width="9.140625" style="239"/>
    <col min="7937" max="7937" width="14.85546875" style="239" bestFit="1" customWidth="1"/>
    <col min="7938" max="7938" width="21" style="239" customWidth="1"/>
    <col min="7939" max="7939" width="50.85546875" style="239" bestFit="1" customWidth="1"/>
    <col min="7940" max="7940" width="55.85546875" style="239" bestFit="1" customWidth="1"/>
    <col min="7941" max="7941" width="26.140625" style="239" customWidth="1"/>
    <col min="7942" max="7942" width="0" style="239" hidden="1" customWidth="1"/>
    <col min="7943" max="7943" width="7.42578125" style="239" customWidth="1"/>
    <col min="7944" max="7944" width="14.5703125" style="239" customWidth="1"/>
    <col min="7945" max="8192" width="9.140625" style="239"/>
    <col min="8193" max="8193" width="14.85546875" style="239" bestFit="1" customWidth="1"/>
    <col min="8194" max="8194" width="21" style="239" customWidth="1"/>
    <col min="8195" max="8195" width="50.85546875" style="239" bestFit="1" customWidth="1"/>
    <col min="8196" max="8196" width="55.85546875" style="239" bestFit="1" customWidth="1"/>
    <col min="8197" max="8197" width="26.140625" style="239" customWidth="1"/>
    <col min="8198" max="8198" width="0" style="239" hidden="1" customWidth="1"/>
    <col min="8199" max="8199" width="7.42578125" style="239" customWidth="1"/>
    <col min="8200" max="8200" width="14.5703125" style="239" customWidth="1"/>
    <col min="8201" max="8448" width="9.140625" style="239"/>
    <col min="8449" max="8449" width="14.85546875" style="239" bestFit="1" customWidth="1"/>
    <col min="8450" max="8450" width="21" style="239" customWidth="1"/>
    <col min="8451" max="8451" width="50.85546875" style="239" bestFit="1" customWidth="1"/>
    <col min="8452" max="8452" width="55.85546875" style="239" bestFit="1" customWidth="1"/>
    <col min="8453" max="8453" width="26.140625" style="239" customWidth="1"/>
    <col min="8454" max="8454" width="0" style="239" hidden="1" customWidth="1"/>
    <col min="8455" max="8455" width="7.42578125" style="239" customWidth="1"/>
    <col min="8456" max="8456" width="14.5703125" style="239" customWidth="1"/>
    <col min="8457" max="8704" width="9.140625" style="239"/>
    <col min="8705" max="8705" width="14.85546875" style="239" bestFit="1" customWidth="1"/>
    <col min="8706" max="8706" width="21" style="239" customWidth="1"/>
    <col min="8707" max="8707" width="50.85546875" style="239" bestFit="1" customWidth="1"/>
    <col min="8708" max="8708" width="55.85546875" style="239" bestFit="1" customWidth="1"/>
    <col min="8709" max="8709" width="26.140625" style="239" customWidth="1"/>
    <col min="8710" max="8710" width="0" style="239" hidden="1" customWidth="1"/>
    <col min="8711" max="8711" width="7.42578125" style="239" customWidth="1"/>
    <col min="8712" max="8712" width="14.5703125" style="239" customWidth="1"/>
    <col min="8713" max="8960" width="9.140625" style="239"/>
    <col min="8961" max="8961" width="14.85546875" style="239" bestFit="1" customWidth="1"/>
    <col min="8962" max="8962" width="21" style="239" customWidth="1"/>
    <col min="8963" max="8963" width="50.85546875" style="239" bestFit="1" customWidth="1"/>
    <col min="8964" max="8964" width="55.85546875" style="239" bestFit="1" customWidth="1"/>
    <col min="8965" max="8965" width="26.140625" style="239" customWidth="1"/>
    <col min="8966" max="8966" width="0" style="239" hidden="1" customWidth="1"/>
    <col min="8967" max="8967" width="7.42578125" style="239" customWidth="1"/>
    <col min="8968" max="8968" width="14.5703125" style="239" customWidth="1"/>
    <col min="8969" max="9216" width="9.140625" style="239"/>
    <col min="9217" max="9217" width="14.85546875" style="239" bestFit="1" customWidth="1"/>
    <col min="9218" max="9218" width="21" style="239" customWidth="1"/>
    <col min="9219" max="9219" width="50.85546875" style="239" bestFit="1" customWidth="1"/>
    <col min="9220" max="9220" width="55.85546875" style="239" bestFit="1" customWidth="1"/>
    <col min="9221" max="9221" width="26.140625" style="239" customWidth="1"/>
    <col min="9222" max="9222" width="0" style="239" hidden="1" customWidth="1"/>
    <col min="9223" max="9223" width="7.42578125" style="239" customWidth="1"/>
    <col min="9224" max="9224" width="14.5703125" style="239" customWidth="1"/>
    <col min="9225" max="9472" width="9.140625" style="239"/>
    <col min="9473" max="9473" width="14.85546875" style="239" bestFit="1" customWidth="1"/>
    <col min="9474" max="9474" width="21" style="239" customWidth="1"/>
    <col min="9475" max="9475" width="50.85546875" style="239" bestFit="1" customWidth="1"/>
    <col min="9476" max="9476" width="55.85546875" style="239" bestFit="1" customWidth="1"/>
    <col min="9477" max="9477" width="26.140625" style="239" customWidth="1"/>
    <col min="9478" max="9478" width="0" style="239" hidden="1" customWidth="1"/>
    <col min="9479" max="9479" width="7.42578125" style="239" customWidth="1"/>
    <col min="9480" max="9480" width="14.5703125" style="239" customWidth="1"/>
    <col min="9481" max="9728" width="9.140625" style="239"/>
    <col min="9729" max="9729" width="14.85546875" style="239" bestFit="1" customWidth="1"/>
    <col min="9730" max="9730" width="21" style="239" customWidth="1"/>
    <col min="9731" max="9731" width="50.85546875" style="239" bestFit="1" customWidth="1"/>
    <col min="9732" max="9732" width="55.85546875" style="239" bestFit="1" customWidth="1"/>
    <col min="9733" max="9733" width="26.140625" style="239" customWidth="1"/>
    <col min="9734" max="9734" width="0" style="239" hidden="1" customWidth="1"/>
    <col min="9735" max="9735" width="7.42578125" style="239" customWidth="1"/>
    <col min="9736" max="9736" width="14.5703125" style="239" customWidth="1"/>
    <col min="9737" max="9984" width="9.140625" style="239"/>
    <col min="9985" max="9985" width="14.85546875" style="239" bestFit="1" customWidth="1"/>
    <col min="9986" max="9986" width="21" style="239" customWidth="1"/>
    <col min="9987" max="9987" width="50.85546875" style="239" bestFit="1" customWidth="1"/>
    <col min="9988" max="9988" width="55.85546875" style="239" bestFit="1" customWidth="1"/>
    <col min="9989" max="9989" width="26.140625" style="239" customWidth="1"/>
    <col min="9990" max="9990" width="0" style="239" hidden="1" customWidth="1"/>
    <col min="9991" max="9991" width="7.42578125" style="239" customWidth="1"/>
    <col min="9992" max="9992" width="14.5703125" style="239" customWidth="1"/>
    <col min="9993" max="10240" width="9.140625" style="239"/>
    <col min="10241" max="10241" width="14.85546875" style="239" bestFit="1" customWidth="1"/>
    <col min="10242" max="10242" width="21" style="239" customWidth="1"/>
    <col min="10243" max="10243" width="50.85546875" style="239" bestFit="1" customWidth="1"/>
    <col min="10244" max="10244" width="55.85546875" style="239" bestFit="1" customWidth="1"/>
    <col min="10245" max="10245" width="26.140625" style="239" customWidth="1"/>
    <col min="10246" max="10246" width="0" style="239" hidden="1" customWidth="1"/>
    <col min="10247" max="10247" width="7.42578125" style="239" customWidth="1"/>
    <col min="10248" max="10248" width="14.5703125" style="239" customWidth="1"/>
    <col min="10249" max="10496" width="9.140625" style="239"/>
    <col min="10497" max="10497" width="14.85546875" style="239" bestFit="1" customWidth="1"/>
    <col min="10498" max="10498" width="21" style="239" customWidth="1"/>
    <col min="10499" max="10499" width="50.85546875" style="239" bestFit="1" customWidth="1"/>
    <col min="10500" max="10500" width="55.85546875" style="239" bestFit="1" customWidth="1"/>
    <col min="10501" max="10501" width="26.140625" style="239" customWidth="1"/>
    <col min="10502" max="10502" width="0" style="239" hidden="1" customWidth="1"/>
    <col min="10503" max="10503" width="7.42578125" style="239" customWidth="1"/>
    <col min="10504" max="10504" width="14.5703125" style="239" customWidth="1"/>
    <col min="10505" max="10752" width="9.140625" style="239"/>
    <col min="10753" max="10753" width="14.85546875" style="239" bestFit="1" customWidth="1"/>
    <col min="10754" max="10754" width="21" style="239" customWidth="1"/>
    <col min="10755" max="10755" width="50.85546875" style="239" bestFit="1" customWidth="1"/>
    <col min="10756" max="10756" width="55.85546875" style="239" bestFit="1" customWidth="1"/>
    <col min="10757" max="10757" width="26.140625" style="239" customWidth="1"/>
    <col min="10758" max="10758" width="0" style="239" hidden="1" customWidth="1"/>
    <col min="10759" max="10759" width="7.42578125" style="239" customWidth="1"/>
    <col min="10760" max="10760" width="14.5703125" style="239" customWidth="1"/>
    <col min="10761" max="11008" width="9.140625" style="239"/>
    <col min="11009" max="11009" width="14.85546875" style="239" bestFit="1" customWidth="1"/>
    <col min="11010" max="11010" width="21" style="239" customWidth="1"/>
    <col min="11011" max="11011" width="50.85546875" style="239" bestFit="1" customWidth="1"/>
    <col min="11012" max="11012" width="55.85546875" style="239" bestFit="1" customWidth="1"/>
    <col min="11013" max="11013" width="26.140625" style="239" customWidth="1"/>
    <col min="11014" max="11014" width="0" style="239" hidden="1" customWidth="1"/>
    <col min="11015" max="11015" width="7.42578125" style="239" customWidth="1"/>
    <col min="11016" max="11016" width="14.5703125" style="239" customWidth="1"/>
    <col min="11017" max="11264" width="9.140625" style="239"/>
    <col min="11265" max="11265" width="14.85546875" style="239" bestFit="1" customWidth="1"/>
    <col min="11266" max="11266" width="21" style="239" customWidth="1"/>
    <col min="11267" max="11267" width="50.85546875" style="239" bestFit="1" customWidth="1"/>
    <col min="11268" max="11268" width="55.85546875" style="239" bestFit="1" customWidth="1"/>
    <col min="11269" max="11269" width="26.140625" style="239" customWidth="1"/>
    <col min="11270" max="11270" width="0" style="239" hidden="1" customWidth="1"/>
    <col min="11271" max="11271" width="7.42578125" style="239" customWidth="1"/>
    <col min="11272" max="11272" width="14.5703125" style="239" customWidth="1"/>
    <col min="11273" max="11520" width="9.140625" style="239"/>
    <col min="11521" max="11521" width="14.85546875" style="239" bestFit="1" customWidth="1"/>
    <col min="11522" max="11522" width="21" style="239" customWidth="1"/>
    <col min="11523" max="11523" width="50.85546875" style="239" bestFit="1" customWidth="1"/>
    <col min="11524" max="11524" width="55.85546875" style="239" bestFit="1" customWidth="1"/>
    <col min="11525" max="11525" width="26.140625" style="239" customWidth="1"/>
    <col min="11526" max="11526" width="0" style="239" hidden="1" customWidth="1"/>
    <col min="11527" max="11527" width="7.42578125" style="239" customWidth="1"/>
    <col min="11528" max="11528" width="14.5703125" style="239" customWidth="1"/>
    <col min="11529" max="11776" width="9.140625" style="239"/>
    <col min="11777" max="11777" width="14.85546875" style="239" bestFit="1" customWidth="1"/>
    <col min="11778" max="11778" width="21" style="239" customWidth="1"/>
    <col min="11779" max="11779" width="50.85546875" style="239" bestFit="1" customWidth="1"/>
    <col min="11780" max="11780" width="55.85546875" style="239" bestFit="1" customWidth="1"/>
    <col min="11781" max="11781" width="26.140625" style="239" customWidth="1"/>
    <col min="11782" max="11782" width="0" style="239" hidden="1" customWidth="1"/>
    <col min="11783" max="11783" width="7.42578125" style="239" customWidth="1"/>
    <col min="11784" max="11784" width="14.5703125" style="239" customWidth="1"/>
    <col min="11785" max="12032" width="9.140625" style="239"/>
    <col min="12033" max="12033" width="14.85546875" style="239" bestFit="1" customWidth="1"/>
    <col min="12034" max="12034" width="21" style="239" customWidth="1"/>
    <col min="12035" max="12035" width="50.85546875" style="239" bestFit="1" customWidth="1"/>
    <col min="12036" max="12036" width="55.85546875" style="239" bestFit="1" customWidth="1"/>
    <col min="12037" max="12037" width="26.140625" style="239" customWidth="1"/>
    <col min="12038" max="12038" width="0" style="239" hidden="1" customWidth="1"/>
    <col min="12039" max="12039" width="7.42578125" style="239" customWidth="1"/>
    <col min="12040" max="12040" width="14.5703125" style="239" customWidth="1"/>
    <col min="12041" max="12288" width="9.140625" style="239"/>
    <col min="12289" max="12289" width="14.85546875" style="239" bestFit="1" customWidth="1"/>
    <col min="12290" max="12290" width="21" style="239" customWidth="1"/>
    <col min="12291" max="12291" width="50.85546875" style="239" bestFit="1" customWidth="1"/>
    <col min="12292" max="12292" width="55.85546875" style="239" bestFit="1" customWidth="1"/>
    <col min="12293" max="12293" width="26.140625" style="239" customWidth="1"/>
    <col min="12294" max="12294" width="0" style="239" hidden="1" customWidth="1"/>
    <col min="12295" max="12295" width="7.42578125" style="239" customWidth="1"/>
    <col min="12296" max="12296" width="14.5703125" style="239" customWidth="1"/>
    <col min="12297" max="12544" width="9.140625" style="239"/>
    <col min="12545" max="12545" width="14.85546875" style="239" bestFit="1" customWidth="1"/>
    <col min="12546" max="12546" width="21" style="239" customWidth="1"/>
    <col min="12547" max="12547" width="50.85546875" style="239" bestFit="1" customWidth="1"/>
    <col min="12548" max="12548" width="55.85546875" style="239" bestFit="1" customWidth="1"/>
    <col min="12549" max="12549" width="26.140625" style="239" customWidth="1"/>
    <col min="12550" max="12550" width="0" style="239" hidden="1" customWidth="1"/>
    <col min="12551" max="12551" width="7.42578125" style="239" customWidth="1"/>
    <col min="12552" max="12552" width="14.5703125" style="239" customWidth="1"/>
    <col min="12553" max="12800" width="9.140625" style="239"/>
    <col min="12801" max="12801" width="14.85546875" style="239" bestFit="1" customWidth="1"/>
    <col min="12802" max="12802" width="21" style="239" customWidth="1"/>
    <col min="12803" max="12803" width="50.85546875" style="239" bestFit="1" customWidth="1"/>
    <col min="12804" max="12804" width="55.85546875" style="239" bestFit="1" customWidth="1"/>
    <col min="12805" max="12805" width="26.140625" style="239" customWidth="1"/>
    <col min="12806" max="12806" width="0" style="239" hidden="1" customWidth="1"/>
    <col min="12807" max="12807" width="7.42578125" style="239" customWidth="1"/>
    <col min="12808" max="12808" width="14.5703125" style="239" customWidth="1"/>
    <col min="12809" max="13056" width="9.140625" style="239"/>
    <col min="13057" max="13057" width="14.85546875" style="239" bestFit="1" customWidth="1"/>
    <col min="13058" max="13058" width="21" style="239" customWidth="1"/>
    <col min="13059" max="13059" width="50.85546875" style="239" bestFit="1" customWidth="1"/>
    <col min="13060" max="13060" width="55.85546875" style="239" bestFit="1" customWidth="1"/>
    <col min="13061" max="13061" width="26.140625" style="239" customWidth="1"/>
    <col min="13062" max="13062" width="0" style="239" hidden="1" customWidth="1"/>
    <col min="13063" max="13063" width="7.42578125" style="239" customWidth="1"/>
    <col min="13064" max="13064" width="14.5703125" style="239" customWidth="1"/>
    <col min="13065" max="13312" width="9.140625" style="239"/>
    <col min="13313" max="13313" width="14.85546875" style="239" bestFit="1" customWidth="1"/>
    <col min="13314" max="13314" width="21" style="239" customWidth="1"/>
    <col min="13315" max="13315" width="50.85546875" style="239" bestFit="1" customWidth="1"/>
    <col min="13316" max="13316" width="55.85546875" style="239" bestFit="1" customWidth="1"/>
    <col min="13317" max="13317" width="26.140625" style="239" customWidth="1"/>
    <col min="13318" max="13318" width="0" style="239" hidden="1" customWidth="1"/>
    <col min="13319" max="13319" width="7.42578125" style="239" customWidth="1"/>
    <col min="13320" max="13320" width="14.5703125" style="239" customWidth="1"/>
    <col min="13321" max="13568" width="9.140625" style="239"/>
    <col min="13569" max="13569" width="14.85546875" style="239" bestFit="1" customWidth="1"/>
    <col min="13570" max="13570" width="21" style="239" customWidth="1"/>
    <col min="13571" max="13571" width="50.85546875" style="239" bestFit="1" customWidth="1"/>
    <col min="13572" max="13572" width="55.85546875" style="239" bestFit="1" customWidth="1"/>
    <col min="13573" max="13573" width="26.140625" style="239" customWidth="1"/>
    <col min="13574" max="13574" width="0" style="239" hidden="1" customWidth="1"/>
    <col min="13575" max="13575" width="7.42578125" style="239" customWidth="1"/>
    <col min="13576" max="13576" width="14.5703125" style="239" customWidth="1"/>
    <col min="13577" max="13824" width="9.140625" style="239"/>
    <col min="13825" max="13825" width="14.85546875" style="239" bestFit="1" customWidth="1"/>
    <col min="13826" max="13826" width="21" style="239" customWidth="1"/>
    <col min="13827" max="13827" width="50.85546875" style="239" bestFit="1" customWidth="1"/>
    <col min="13828" max="13828" width="55.85546875" style="239" bestFit="1" customWidth="1"/>
    <col min="13829" max="13829" width="26.140625" style="239" customWidth="1"/>
    <col min="13830" max="13830" width="0" style="239" hidden="1" customWidth="1"/>
    <col min="13831" max="13831" width="7.42578125" style="239" customWidth="1"/>
    <col min="13832" max="13832" width="14.5703125" style="239" customWidth="1"/>
    <col min="13833" max="14080" width="9.140625" style="239"/>
    <col min="14081" max="14081" width="14.85546875" style="239" bestFit="1" customWidth="1"/>
    <col min="14082" max="14082" width="21" style="239" customWidth="1"/>
    <col min="14083" max="14083" width="50.85546875" style="239" bestFit="1" customWidth="1"/>
    <col min="14084" max="14084" width="55.85546875" style="239" bestFit="1" customWidth="1"/>
    <col min="14085" max="14085" width="26.140625" style="239" customWidth="1"/>
    <col min="14086" max="14086" width="0" style="239" hidden="1" customWidth="1"/>
    <col min="14087" max="14087" width="7.42578125" style="239" customWidth="1"/>
    <col min="14088" max="14088" width="14.5703125" style="239" customWidth="1"/>
    <col min="14089" max="14336" width="9.140625" style="239"/>
    <col min="14337" max="14337" width="14.85546875" style="239" bestFit="1" customWidth="1"/>
    <col min="14338" max="14338" width="21" style="239" customWidth="1"/>
    <col min="14339" max="14339" width="50.85546875" style="239" bestFit="1" customWidth="1"/>
    <col min="14340" max="14340" width="55.85546875" style="239" bestFit="1" customWidth="1"/>
    <col min="14341" max="14341" width="26.140625" style="239" customWidth="1"/>
    <col min="14342" max="14342" width="0" style="239" hidden="1" customWidth="1"/>
    <col min="14343" max="14343" width="7.42578125" style="239" customWidth="1"/>
    <col min="14344" max="14344" width="14.5703125" style="239" customWidth="1"/>
    <col min="14345" max="14592" width="9.140625" style="239"/>
    <col min="14593" max="14593" width="14.85546875" style="239" bestFit="1" customWidth="1"/>
    <col min="14594" max="14594" width="21" style="239" customWidth="1"/>
    <col min="14595" max="14595" width="50.85546875" style="239" bestFit="1" customWidth="1"/>
    <col min="14596" max="14596" width="55.85546875" style="239" bestFit="1" customWidth="1"/>
    <col min="14597" max="14597" width="26.140625" style="239" customWidth="1"/>
    <col min="14598" max="14598" width="0" style="239" hidden="1" customWidth="1"/>
    <col min="14599" max="14599" width="7.42578125" style="239" customWidth="1"/>
    <col min="14600" max="14600" width="14.5703125" style="239" customWidth="1"/>
    <col min="14601" max="14848" width="9.140625" style="239"/>
    <col min="14849" max="14849" width="14.85546875" style="239" bestFit="1" customWidth="1"/>
    <col min="14850" max="14850" width="21" style="239" customWidth="1"/>
    <col min="14851" max="14851" width="50.85546875" style="239" bestFit="1" customWidth="1"/>
    <col min="14852" max="14852" width="55.85546875" style="239" bestFit="1" customWidth="1"/>
    <col min="14853" max="14853" width="26.140625" style="239" customWidth="1"/>
    <col min="14854" max="14854" width="0" style="239" hidden="1" customWidth="1"/>
    <col min="14855" max="14855" width="7.42578125" style="239" customWidth="1"/>
    <col min="14856" max="14856" width="14.5703125" style="239" customWidth="1"/>
    <col min="14857" max="15104" width="9.140625" style="239"/>
    <col min="15105" max="15105" width="14.85546875" style="239" bestFit="1" customWidth="1"/>
    <col min="15106" max="15106" width="21" style="239" customWidth="1"/>
    <col min="15107" max="15107" width="50.85546875" style="239" bestFit="1" customWidth="1"/>
    <col min="15108" max="15108" width="55.85546875" style="239" bestFit="1" customWidth="1"/>
    <col min="15109" max="15109" width="26.140625" style="239" customWidth="1"/>
    <col min="15110" max="15110" width="0" style="239" hidden="1" customWidth="1"/>
    <col min="15111" max="15111" width="7.42578125" style="239" customWidth="1"/>
    <col min="15112" max="15112" width="14.5703125" style="239" customWidth="1"/>
    <col min="15113" max="15360" width="9.140625" style="239"/>
    <col min="15361" max="15361" width="14.85546875" style="239" bestFit="1" customWidth="1"/>
    <col min="15362" max="15362" width="21" style="239" customWidth="1"/>
    <col min="15363" max="15363" width="50.85546875" style="239" bestFit="1" customWidth="1"/>
    <col min="15364" max="15364" width="55.85546875" style="239" bestFit="1" customWidth="1"/>
    <col min="15365" max="15365" width="26.140625" style="239" customWidth="1"/>
    <col min="15366" max="15366" width="0" style="239" hidden="1" customWidth="1"/>
    <col min="15367" max="15367" width="7.42578125" style="239" customWidth="1"/>
    <col min="15368" max="15368" width="14.5703125" style="239" customWidth="1"/>
    <col min="15369" max="15616" width="9.140625" style="239"/>
    <col min="15617" max="15617" width="14.85546875" style="239" bestFit="1" customWidth="1"/>
    <col min="15618" max="15618" width="21" style="239" customWidth="1"/>
    <col min="15619" max="15619" width="50.85546875" style="239" bestFit="1" customWidth="1"/>
    <col min="15620" max="15620" width="55.85546875" style="239" bestFit="1" customWidth="1"/>
    <col min="15621" max="15621" width="26.140625" style="239" customWidth="1"/>
    <col min="15622" max="15622" width="0" style="239" hidden="1" customWidth="1"/>
    <col min="15623" max="15623" width="7.42578125" style="239" customWidth="1"/>
    <col min="15624" max="15624" width="14.5703125" style="239" customWidth="1"/>
    <col min="15625" max="15872" width="9.140625" style="239"/>
    <col min="15873" max="15873" width="14.85546875" style="239" bestFit="1" customWidth="1"/>
    <col min="15874" max="15874" width="21" style="239" customWidth="1"/>
    <col min="15875" max="15875" width="50.85546875" style="239" bestFit="1" customWidth="1"/>
    <col min="15876" max="15876" width="55.85546875" style="239" bestFit="1" customWidth="1"/>
    <col min="15877" max="15877" width="26.140625" style="239" customWidth="1"/>
    <col min="15878" max="15878" width="0" style="239" hidden="1" customWidth="1"/>
    <col min="15879" max="15879" width="7.42578125" style="239" customWidth="1"/>
    <col min="15880" max="15880" width="14.5703125" style="239" customWidth="1"/>
    <col min="15881" max="16128" width="9.140625" style="239"/>
    <col min="16129" max="16129" width="14.85546875" style="239" bestFit="1" customWidth="1"/>
    <col min="16130" max="16130" width="21" style="239" customWidth="1"/>
    <col min="16131" max="16131" width="50.85546875" style="239" bestFit="1" customWidth="1"/>
    <col min="16132" max="16132" width="55.85546875" style="239" bestFit="1" customWidth="1"/>
    <col min="16133" max="16133" width="26.140625" style="239" customWidth="1"/>
    <col min="16134" max="16134" width="0" style="239" hidden="1" customWidth="1"/>
    <col min="16135" max="16135" width="7.42578125" style="239" customWidth="1"/>
    <col min="16136" max="16136" width="14.5703125" style="239" customWidth="1"/>
    <col min="16137" max="16384" width="9.140625" style="239"/>
  </cols>
  <sheetData>
    <row r="1" spans="1:9" s="232" customFormat="1" ht="18.75" x14ac:dyDescent="0.3">
      <c r="A1" s="231" t="s">
        <v>281</v>
      </c>
      <c r="C1" s="233"/>
      <c r="D1" s="234" t="s">
        <v>282</v>
      </c>
      <c r="E1" s="235">
        <v>43241</v>
      </c>
      <c r="F1" s="236"/>
      <c r="G1" s="236"/>
      <c r="H1" s="237"/>
    </row>
    <row r="2" spans="1:9" ht="15" x14ac:dyDescent="0.25">
      <c r="A2" s="238"/>
      <c r="E2" s="62" t="s">
        <v>46</v>
      </c>
    </row>
    <row r="3" spans="1:9" ht="13.5" thickBot="1" x14ac:dyDescent="0.25">
      <c r="A3" s="241"/>
      <c r="B3" s="241"/>
      <c r="C3" s="240"/>
    </row>
    <row r="4" spans="1:9" s="240" customFormat="1" ht="21.75" thickBot="1" x14ac:dyDescent="0.25">
      <c r="A4" s="242"/>
      <c r="B4" s="242"/>
      <c r="C4" s="512" t="s">
        <v>283</v>
      </c>
      <c r="D4" s="513"/>
      <c r="I4" s="239"/>
    </row>
    <row r="5" spans="1:9" s="240" customFormat="1" ht="16.5" thickBot="1" x14ac:dyDescent="0.3">
      <c r="A5" s="243" t="s">
        <v>284</v>
      </c>
      <c r="B5" s="244" t="s">
        <v>285</v>
      </c>
      <c r="C5" s="244" t="s">
        <v>286</v>
      </c>
      <c r="D5" s="243" t="s">
        <v>287</v>
      </c>
      <c r="I5" s="239"/>
    </row>
    <row r="6" spans="1:9" s="240" customFormat="1" ht="15" x14ac:dyDescent="0.2">
      <c r="A6" s="514" t="s">
        <v>288</v>
      </c>
      <c r="B6" s="514" t="s">
        <v>220</v>
      </c>
      <c r="C6" s="516" t="s">
        <v>289</v>
      </c>
      <c r="D6" s="344" t="s">
        <v>290</v>
      </c>
      <c r="E6" s="247"/>
      <c r="I6" s="239"/>
    </row>
    <row r="7" spans="1:9" s="240" customFormat="1" ht="15.75" thickBot="1" x14ac:dyDescent="0.25">
      <c r="A7" s="514"/>
      <c r="B7" s="514"/>
      <c r="C7" s="515"/>
      <c r="D7" s="341" t="s">
        <v>291</v>
      </c>
      <c r="E7" s="247"/>
      <c r="I7" s="239"/>
    </row>
    <row r="8" spans="1:9" s="240" customFormat="1" ht="15" customHeight="1" x14ac:dyDescent="0.2">
      <c r="A8" s="514"/>
      <c r="B8" s="514"/>
      <c r="C8" s="516" t="s">
        <v>238</v>
      </c>
      <c r="D8" s="345" t="s">
        <v>292</v>
      </c>
      <c r="E8" s="248"/>
      <c r="I8" s="239"/>
    </row>
    <row r="9" spans="1:9" s="240" customFormat="1" ht="15" customHeight="1" x14ac:dyDescent="0.2">
      <c r="A9" s="514"/>
      <c r="B9" s="514"/>
      <c r="C9" s="514"/>
      <c r="D9" s="346" t="s">
        <v>293</v>
      </c>
      <c r="E9" s="248"/>
      <c r="I9" s="239"/>
    </row>
    <row r="10" spans="1:9" s="240" customFormat="1" ht="15" customHeight="1" x14ac:dyDescent="0.2">
      <c r="A10" s="514"/>
      <c r="B10" s="514"/>
      <c r="C10" s="514"/>
      <c r="D10" s="346" t="s">
        <v>294</v>
      </c>
      <c r="E10" s="248"/>
      <c r="I10" s="239"/>
    </row>
    <row r="11" spans="1:9" s="240" customFormat="1" ht="15" customHeight="1" x14ac:dyDescent="0.2">
      <c r="A11" s="514"/>
      <c r="B11" s="514"/>
      <c r="C11" s="514"/>
      <c r="D11" s="346" t="s">
        <v>295</v>
      </c>
      <c r="E11" s="248"/>
      <c r="I11" s="239"/>
    </row>
    <row r="12" spans="1:9" s="240" customFormat="1" ht="15" customHeight="1" x14ac:dyDescent="0.2">
      <c r="A12" s="514"/>
      <c r="B12" s="514"/>
      <c r="C12" s="514"/>
      <c r="D12" s="346" t="s">
        <v>296</v>
      </c>
      <c r="E12" s="248"/>
      <c r="I12" s="239"/>
    </row>
    <row r="13" spans="1:9" s="240" customFormat="1" ht="15" customHeight="1" x14ac:dyDescent="0.2">
      <c r="A13" s="514"/>
      <c r="B13" s="514"/>
      <c r="C13" s="514"/>
      <c r="D13" s="346" t="s">
        <v>297</v>
      </c>
      <c r="E13" s="248"/>
      <c r="I13" s="239"/>
    </row>
    <row r="14" spans="1:9" s="240" customFormat="1" ht="15" customHeight="1" x14ac:dyDescent="0.2">
      <c r="A14" s="514"/>
      <c r="B14" s="514"/>
      <c r="C14" s="514"/>
      <c r="D14" s="346" t="s">
        <v>298</v>
      </c>
      <c r="E14" s="248"/>
      <c r="I14" s="239"/>
    </row>
    <row r="15" spans="1:9" s="240" customFormat="1" ht="15.75" customHeight="1" x14ac:dyDescent="0.2">
      <c r="A15" s="514"/>
      <c r="B15" s="514"/>
      <c r="C15" s="514"/>
      <c r="D15" s="346" t="s">
        <v>299</v>
      </c>
      <c r="E15" s="248"/>
      <c r="I15" s="239"/>
    </row>
    <row r="16" spans="1:9" s="240" customFormat="1" ht="15.75" thickBot="1" x14ac:dyDescent="0.25">
      <c r="A16" s="514"/>
      <c r="B16" s="514"/>
      <c r="C16" s="515"/>
      <c r="D16" s="342" t="s">
        <v>300</v>
      </c>
      <c r="E16" s="248"/>
      <c r="I16" s="239"/>
    </row>
    <row r="17" spans="1:9" s="240" customFormat="1" ht="32.25" thickBot="1" x14ac:dyDescent="0.25">
      <c r="A17" s="514"/>
      <c r="B17" s="514"/>
      <c r="C17" s="467" t="s">
        <v>301</v>
      </c>
      <c r="D17" s="340" t="s">
        <v>302</v>
      </c>
      <c r="E17" s="249"/>
      <c r="I17" s="239"/>
    </row>
    <row r="18" spans="1:9" s="240" customFormat="1" ht="15" x14ac:dyDescent="0.2">
      <c r="A18" s="514"/>
      <c r="B18" s="514"/>
      <c r="C18" s="517" t="s">
        <v>240</v>
      </c>
      <c r="D18" s="344" t="s">
        <v>303</v>
      </c>
      <c r="I18" s="239"/>
    </row>
    <row r="19" spans="1:9" s="240" customFormat="1" ht="15" x14ac:dyDescent="0.2">
      <c r="A19" s="514"/>
      <c r="B19" s="514"/>
      <c r="C19" s="518"/>
      <c r="D19" s="347" t="s">
        <v>304</v>
      </c>
      <c r="I19" s="239"/>
    </row>
    <row r="20" spans="1:9" s="240" customFormat="1" ht="15" x14ac:dyDescent="0.2">
      <c r="A20" s="514"/>
      <c r="B20" s="514"/>
      <c r="C20" s="518"/>
      <c r="D20" s="347" t="s">
        <v>305</v>
      </c>
      <c r="I20" s="239"/>
    </row>
    <row r="21" spans="1:9" s="240" customFormat="1" ht="15" x14ac:dyDescent="0.2">
      <c r="A21" s="514"/>
      <c r="B21" s="514"/>
      <c r="C21" s="518"/>
      <c r="D21" s="347" t="s">
        <v>306</v>
      </c>
      <c r="I21" s="239"/>
    </row>
    <row r="22" spans="1:9" ht="15" x14ac:dyDescent="0.2">
      <c r="A22" s="514"/>
      <c r="B22" s="514"/>
      <c r="C22" s="518"/>
      <c r="D22" s="347" t="s">
        <v>307</v>
      </c>
    </row>
    <row r="23" spans="1:9" ht="15" x14ac:dyDescent="0.2">
      <c r="A23" s="514"/>
      <c r="B23" s="514"/>
      <c r="C23" s="518"/>
      <c r="D23" s="347" t="s">
        <v>308</v>
      </c>
    </row>
    <row r="24" spans="1:9" ht="15" x14ac:dyDescent="0.2">
      <c r="A24" s="514"/>
      <c r="B24" s="514"/>
      <c r="C24" s="518"/>
      <c r="D24" s="347" t="s">
        <v>309</v>
      </c>
    </row>
    <row r="25" spans="1:9" ht="15" x14ac:dyDescent="0.2">
      <c r="A25" s="514"/>
      <c r="B25" s="514"/>
      <c r="C25" s="518"/>
      <c r="D25" s="347" t="s">
        <v>310</v>
      </c>
    </row>
    <row r="26" spans="1:9" ht="15.75" thickBot="1" x14ac:dyDescent="0.25">
      <c r="A26" s="514"/>
      <c r="B26" s="514"/>
      <c r="C26" s="519"/>
      <c r="D26" s="348" t="s">
        <v>311</v>
      </c>
    </row>
    <row r="27" spans="1:9" ht="15" customHeight="1" thickBot="1" x14ac:dyDescent="0.25">
      <c r="A27" s="514"/>
      <c r="B27" s="514"/>
      <c r="C27" s="349" t="s">
        <v>312</v>
      </c>
      <c r="D27" s="343" t="s">
        <v>313</v>
      </c>
    </row>
    <row r="28" spans="1:9" ht="16.5" customHeight="1" x14ac:dyDescent="0.2">
      <c r="A28" s="514"/>
      <c r="B28" s="514"/>
      <c r="C28" s="517" t="s">
        <v>241</v>
      </c>
      <c r="D28" s="350" t="s">
        <v>314</v>
      </c>
    </row>
    <row r="29" spans="1:9" ht="15" customHeight="1" x14ac:dyDescent="0.2">
      <c r="A29" s="514"/>
      <c r="B29" s="514"/>
      <c r="C29" s="518"/>
      <c r="D29" s="347" t="s">
        <v>315</v>
      </c>
    </row>
    <row r="30" spans="1:9" ht="15" customHeight="1" x14ac:dyDescent="0.2">
      <c r="A30" s="514"/>
      <c r="B30" s="514"/>
      <c r="C30" s="518"/>
      <c r="D30" s="347" t="s">
        <v>316</v>
      </c>
    </row>
    <row r="31" spans="1:9" ht="15" customHeight="1" x14ac:dyDescent="0.2">
      <c r="A31" s="514"/>
      <c r="B31" s="514"/>
      <c r="C31" s="518"/>
      <c r="D31" s="347" t="s">
        <v>317</v>
      </c>
    </row>
    <row r="32" spans="1:9" ht="15" customHeight="1" x14ac:dyDescent="0.2">
      <c r="A32" s="514"/>
      <c r="B32" s="514"/>
      <c r="C32" s="518"/>
      <c r="D32" s="347" t="s">
        <v>318</v>
      </c>
    </row>
    <row r="33" spans="1:9" ht="15" customHeight="1" x14ac:dyDescent="0.2">
      <c r="A33" s="514"/>
      <c r="B33" s="514"/>
      <c r="C33" s="518"/>
      <c r="D33" s="347" t="s">
        <v>319</v>
      </c>
    </row>
    <row r="34" spans="1:9" ht="15" customHeight="1" x14ac:dyDescent="0.2">
      <c r="A34" s="514"/>
      <c r="B34" s="514"/>
      <c r="C34" s="518"/>
      <c r="D34" s="347" t="s">
        <v>320</v>
      </c>
      <c r="G34" s="252"/>
      <c r="H34" s="252"/>
      <c r="I34" s="252"/>
    </row>
    <row r="35" spans="1:9" ht="15" customHeight="1" x14ac:dyDescent="0.2">
      <c r="A35" s="514"/>
      <c r="B35" s="514"/>
      <c r="C35" s="518"/>
      <c r="D35" s="347" t="s">
        <v>321</v>
      </c>
      <c r="G35" s="252"/>
      <c r="H35" s="252"/>
      <c r="I35" s="252"/>
    </row>
    <row r="36" spans="1:9" ht="15.75" customHeight="1" thickBot="1" x14ac:dyDescent="0.25">
      <c r="A36" s="514"/>
      <c r="B36" s="514"/>
      <c r="C36" s="519"/>
      <c r="D36" s="348" t="s">
        <v>322</v>
      </c>
      <c r="G36" s="252"/>
      <c r="H36" s="252"/>
      <c r="I36" s="252"/>
    </row>
    <row r="37" spans="1:9" ht="15" x14ac:dyDescent="0.2">
      <c r="A37" s="514"/>
      <c r="B37" s="514"/>
      <c r="C37" s="517" t="s">
        <v>242</v>
      </c>
      <c r="D37" s="344" t="s">
        <v>323</v>
      </c>
      <c r="G37" s="252"/>
      <c r="H37" s="252"/>
      <c r="I37" s="252"/>
    </row>
    <row r="38" spans="1:9" ht="15" x14ac:dyDescent="0.2">
      <c r="A38" s="514"/>
      <c r="B38" s="514"/>
      <c r="C38" s="518"/>
      <c r="D38" s="347" t="s">
        <v>324</v>
      </c>
      <c r="G38" s="252"/>
      <c r="H38" s="252"/>
      <c r="I38" s="252"/>
    </row>
    <row r="39" spans="1:9" ht="15" x14ac:dyDescent="0.2">
      <c r="A39" s="514"/>
      <c r="B39" s="514"/>
      <c r="C39" s="518"/>
      <c r="D39" s="347" t="s">
        <v>325</v>
      </c>
    </row>
    <row r="40" spans="1:9" ht="15" x14ac:dyDescent="0.2">
      <c r="A40" s="514"/>
      <c r="B40" s="514"/>
      <c r="C40" s="518"/>
      <c r="D40" s="347" t="s">
        <v>326</v>
      </c>
    </row>
    <row r="41" spans="1:9" ht="15" x14ac:dyDescent="0.2">
      <c r="A41" s="514"/>
      <c r="B41" s="514"/>
      <c r="C41" s="518"/>
      <c r="D41" s="347" t="s">
        <v>327</v>
      </c>
      <c r="G41" s="254"/>
      <c r="H41" s="254"/>
      <c r="I41" s="254"/>
    </row>
    <row r="42" spans="1:9" ht="15.75" thickBot="1" x14ac:dyDescent="0.25">
      <c r="A42" s="514"/>
      <c r="B42" s="514"/>
      <c r="C42" s="519"/>
      <c r="D42" s="348" t="s">
        <v>328</v>
      </c>
      <c r="G42" s="254"/>
      <c r="H42" s="254"/>
      <c r="I42" s="254"/>
    </row>
    <row r="43" spans="1:9" ht="15.75" customHeight="1" x14ac:dyDescent="0.2">
      <c r="A43" s="514"/>
      <c r="B43" s="514"/>
      <c r="C43" s="517" t="s">
        <v>243</v>
      </c>
      <c r="D43" s="344" t="s">
        <v>329</v>
      </c>
      <c r="G43" s="254"/>
      <c r="H43" s="254"/>
      <c r="I43" s="254"/>
    </row>
    <row r="44" spans="1:9" ht="15.75" customHeight="1" x14ac:dyDescent="0.2">
      <c r="A44" s="514"/>
      <c r="B44" s="514"/>
      <c r="C44" s="518"/>
      <c r="D44" s="279" t="s">
        <v>330</v>
      </c>
      <c r="G44" s="254"/>
      <c r="H44" s="254"/>
      <c r="I44" s="254"/>
    </row>
    <row r="45" spans="1:9" ht="15.75" customHeight="1" x14ac:dyDescent="0.2">
      <c r="A45" s="514"/>
      <c r="B45" s="514"/>
      <c r="C45" s="518"/>
      <c r="D45" s="251" t="s">
        <v>331</v>
      </c>
      <c r="G45" s="254"/>
      <c r="H45" s="254"/>
      <c r="I45" s="254"/>
    </row>
    <row r="46" spans="1:9" ht="15.75" customHeight="1" x14ac:dyDescent="0.2">
      <c r="A46" s="514"/>
      <c r="B46" s="514"/>
      <c r="C46" s="518"/>
      <c r="D46" s="251" t="s">
        <v>332</v>
      </c>
      <c r="G46" s="254"/>
      <c r="H46" s="254"/>
      <c r="I46" s="254"/>
    </row>
    <row r="47" spans="1:9" ht="15.75" customHeight="1" x14ac:dyDescent="0.2">
      <c r="A47" s="514"/>
      <c r="B47" s="514"/>
      <c r="C47" s="518"/>
      <c r="D47" s="251" t="s">
        <v>333</v>
      </c>
      <c r="G47" s="254"/>
      <c r="H47" s="254"/>
      <c r="I47" s="254"/>
    </row>
    <row r="48" spans="1:9" ht="15.75" customHeight="1" x14ac:dyDescent="0.2">
      <c r="A48" s="514"/>
      <c r="B48" s="514"/>
      <c r="C48" s="518"/>
      <c r="D48" s="251" t="s">
        <v>334</v>
      </c>
      <c r="G48" s="254"/>
      <c r="H48" s="254"/>
      <c r="I48" s="254"/>
    </row>
    <row r="49" spans="1:9" ht="15.75" customHeight="1" x14ac:dyDescent="0.2">
      <c r="A49" s="514"/>
      <c r="B49" s="514"/>
      <c r="C49" s="518"/>
      <c r="D49" s="251" t="s">
        <v>335</v>
      </c>
      <c r="G49" s="254"/>
      <c r="H49" s="254"/>
      <c r="I49" s="254"/>
    </row>
    <row r="50" spans="1:9" ht="15.75" customHeight="1" x14ac:dyDescent="0.2">
      <c r="A50" s="514"/>
      <c r="B50" s="514"/>
      <c r="C50" s="518"/>
      <c r="D50" s="251" t="s">
        <v>336</v>
      </c>
      <c r="G50" s="254"/>
      <c r="H50" s="254"/>
      <c r="I50" s="254"/>
    </row>
    <row r="51" spans="1:9" ht="15.75" customHeight="1" x14ac:dyDescent="0.2">
      <c r="A51" s="514"/>
      <c r="B51" s="514"/>
      <c r="C51" s="518"/>
      <c r="D51" s="251" t="s">
        <v>337</v>
      </c>
      <c r="G51" s="254"/>
      <c r="H51" s="254"/>
      <c r="I51" s="254"/>
    </row>
    <row r="52" spans="1:9" ht="15.75" customHeight="1" x14ac:dyDescent="0.2">
      <c r="A52" s="514"/>
      <c r="B52" s="514"/>
      <c r="C52" s="518"/>
      <c r="D52" s="251" t="s">
        <v>338</v>
      </c>
      <c r="G52" s="254"/>
      <c r="H52" s="254"/>
      <c r="I52" s="254"/>
    </row>
    <row r="53" spans="1:9" ht="15.75" customHeight="1" x14ac:dyDescent="0.2">
      <c r="A53" s="514"/>
      <c r="B53" s="514"/>
      <c r="C53" s="518"/>
      <c r="D53" s="251" t="s">
        <v>339</v>
      </c>
      <c r="G53" s="254"/>
      <c r="H53" s="254"/>
      <c r="I53" s="254"/>
    </row>
    <row r="54" spans="1:9" ht="15.75" customHeight="1" x14ac:dyDescent="0.2">
      <c r="A54" s="514"/>
      <c r="B54" s="514"/>
      <c r="C54" s="518"/>
      <c r="D54" s="251" t="s">
        <v>340</v>
      </c>
      <c r="G54" s="254"/>
      <c r="H54" s="254"/>
      <c r="I54" s="254"/>
    </row>
    <row r="55" spans="1:9" ht="16.5" customHeight="1" thickBot="1" x14ac:dyDescent="0.25">
      <c r="A55" s="514"/>
      <c r="B55" s="514"/>
      <c r="C55" s="519"/>
      <c r="D55" s="253" t="s">
        <v>341</v>
      </c>
      <c r="G55" s="254"/>
      <c r="H55" s="254"/>
      <c r="I55" s="254"/>
    </row>
    <row r="56" spans="1:9" ht="16.5" thickBot="1" x14ac:dyDescent="0.25">
      <c r="A56" s="514"/>
      <c r="B56" s="514"/>
      <c r="C56" s="255" t="s">
        <v>177</v>
      </c>
      <c r="D56" s="334" t="s">
        <v>342</v>
      </c>
      <c r="G56" s="254"/>
      <c r="H56" s="254"/>
      <c r="I56" s="254"/>
    </row>
    <row r="57" spans="1:9" ht="19.5" thickBot="1" x14ac:dyDescent="0.25">
      <c r="A57" s="514"/>
      <c r="B57" s="514"/>
      <c r="C57" s="512" t="s">
        <v>343</v>
      </c>
      <c r="D57" s="520"/>
      <c r="F57" s="270"/>
      <c r="G57" s="254"/>
      <c r="H57" s="254"/>
      <c r="I57" s="254"/>
    </row>
    <row r="58" spans="1:9" ht="16.5" thickBot="1" x14ac:dyDescent="0.3">
      <c r="A58" s="514"/>
      <c r="B58" s="514"/>
      <c r="C58" s="243" t="s">
        <v>344</v>
      </c>
      <c r="D58" s="246" t="s">
        <v>345</v>
      </c>
      <c r="F58" s="265"/>
      <c r="G58" s="252"/>
      <c r="H58" s="252"/>
    </row>
    <row r="59" spans="1:9" x14ac:dyDescent="0.2">
      <c r="A59" s="514"/>
      <c r="B59" s="514"/>
      <c r="C59" s="256"/>
      <c r="D59" s="257"/>
      <c r="F59" s="265"/>
      <c r="G59" s="252"/>
      <c r="H59" s="252"/>
    </row>
    <row r="60" spans="1:9" x14ac:dyDescent="0.2">
      <c r="A60" s="514"/>
      <c r="B60" s="514"/>
      <c r="C60" s="258"/>
      <c r="D60" s="259"/>
      <c r="F60" s="265"/>
      <c r="G60" s="252"/>
      <c r="H60" s="252"/>
    </row>
    <row r="61" spans="1:9" x14ac:dyDescent="0.2">
      <c r="A61" s="514"/>
      <c r="B61" s="514"/>
      <c r="C61" s="260"/>
      <c r="D61" s="259"/>
      <c r="F61" s="265"/>
      <c r="G61" s="252"/>
      <c r="H61" s="252"/>
    </row>
    <row r="62" spans="1:9" x14ac:dyDescent="0.2">
      <c r="A62" s="514"/>
      <c r="B62" s="514"/>
      <c r="C62" s="258"/>
      <c r="D62" s="259"/>
      <c r="F62" s="265"/>
      <c r="G62" s="252"/>
      <c r="H62" s="252"/>
    </row>
    <row r="63" spans="1:9" x14ac:dyDescent="0.2">
      <c r="A63" s="514"/>
      <c r="B63" s="514"/>
      <c r="C63" s="260"/>
      <c r="D63" s="259"/>
      <c r="F63" s="265"/>
      <c r="G63" s="252"/>
      <c r="H63" s="252"/>
    </row>
    <row r="64" spans="1:9" x14ac:dyDescent="0.2">
      <c r="A64" s="514"/>
      <c r="B64" s="514"/>
      <c r="C64" s="258"/>
      <c r="D64" s="261"/>
      <c r="F64" s="265"/>
      <c r="G64" s="252"/>
      <c r="H64" s="252"/>
    </row>
    <row r="65" spans="1:8" x14ac:dyDescent="0.2">
      <c r="A65" s="514"/>
      <c r="B65" s="514"/>
      <c r="C65" s="262"/>
      <c r="D65" s="261"/>
      <c r="F65" s="265"/>
      <c r="G65" s="252"/>
      <c r="H65" s="252"/>
    </row>
    <row r="66" spans="1:8" ht="13.5" thickBot="1" x14ac:dyDescent="0.25">
      <c r="A66" s="515"/>
      <c r="B66" s="515"/>
      <c r="C66" s="263"/>
      <c r="D66" s="264"/>
      <c r="F66" s="265"/>
      <c r="G66" s="265"/>
      <c r="H66" s="265"/>
    </row>
    <row r="67" spans="1:8" x14ac:dyDescent="0.2">
      <c r="A67" s="266"/>
      <c r="B67" s="267"/>
      <c r="C67" s="268"/>
      <c r="D67" s="269"/>
      <c r="E67" s="270"/>
      <c r="F67" s="277"/>
      <c r="G67" s="271"/>
      <c r="H67" s="272"/>
    </row>
    <row r="68" spans="1:8" x14ac:dyDescent="0.2">
      <c r="A68" s="273"/>
    </row>
    <row r="69" spans="1:8" ht="15.75" x14ac:dyDescent="0.2">
      <c r="A69" s="274" t="s">
        <v>346</v>
      </c>
      <c r="B69" s="275"/>
      <c r="C69" s="276"/>
      <c r="D69" s="276"/>
      <c r="E69" s="277"/>
      <c r="F69" s="277"/>
      <c r="G69" s="271"/>
      <c r="H69" s="271"/>
    </row>
    <row r="70" spans="1:8" x14ac:dyDescent="0.2">
      <c r="E70" s="277"/>
      <c r="F70" s="277"/>
      <c r="G70" s="271"/>
      <c r="H70" s="271"/>
    </row>
    <row r="71" spans="1:8" x14ac:dyDescent="0.2">
      <c r="E71" s="277"/>
      <c r="F71" s="277"/>
      <c r="G71" s="271"/>
      <c r="H71" s="271"/>
    </row>
    <row r="72" spans="1:8" x14ac:dyDescent="0.2">
      <c r="E72" s="277"/>
      <c r="F72" s="277"/>
      <c r="G72" s="271"/>
      <c r="H72" s="271"/>
    </row>
    <row r="73" spans="1:8" x14ac:dyDescent="0.2">
      <c r="E73" s="277"/>
      <c r="F73" s="277"/>
      <c r="G73" s="271"/>
      <c r="H73" s="278"/>
    </row>
  </sheetData>
  <mergeCells count="10">
    <mergeCell ref="C4:D4"/>
    <mergeCell ref="A6:A66"/>
    <mergeCell ref="B6:B66"/>
    <mergeCell ref="C6:C7"/>
    <mergeCell ref="C18:C26"/>
    <mergeCell ref="C37:C42"/>
    <mergeCell ref="C57:D57"/>
    <mergeCell ref="C43:C55"/>
    <mergeCell ref="C8:C16"/>
    <mergeCell ref="C28:C36"/>
  </mergeCells>
  <hyperlinks>
    <hyperlink ref="E1" r:id="rId1" display="https://cpf.portal.navy.mil/sites/cnap/N42/N422/Shared Documents/Forms/site.aspx?RootFolder=%2Fsites%2Fcnap%2FN42%2FN422%2FShared%20Documents%2FN422C%20NAMP%2FMESMs%20and%20MC%2DFMC%20Goals" xr:uid="{00000000-0004-0000-0B00-000000000000}"/>
    <hyperlink ref="E2" location="Inventory!A1" display="Inventory" xr:uid="{00000000-0004-0000-0B00-000001000000}"/>
  </hyperlinks>
  <pageMargins left="0.25" right="0.25" top="0.25" bottom="0.25" header="0.5" footer="0.5"/>
  <pageSetup scale="80" orientation="landscape" horizontalDpi="300" verticalDpi="300" r:id="rId2"/>
  <headerFooter alignWithMargins="0"/>
  <drawing r:id="rId3"/>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I69"/>
  <sheetViews>
    <sheetView showGridLines="0" zoomScaleNormal="100" workbookViewId="0">
      <selection activeCell="E2" sqref="E2"/>
    </sheetView>
  </sheetViews>
  <sheetFormatPr defaultRowHeight="12.75" x14ac:dyDescent="0.2"/>
  <cols>
    <col min="1" max="1" width="14.85546875" style="239" bestFit="1" customWidth="1"/>
    <col min="2" max="2" width="21" style="239" customWidth="1"/>
    <col min="3" max="3" width="56.7109375" style="239" bestFit="1" customWidth="1"/>
    <col min="4" max="4" width="70.7109375" style="240" customWidth="1"/>
    <col min="5" max="5" width="13.7109375" style="240" bestFit="1" customWidth="1"/>
    <col min="6" max="6" width="7.42578125" style="240" customWidth="1"/>
    <col min="7" max="7" width="14.5703125" style="240" customWidth="1"/>
    <col min="8" max="255" width="9.140625" style="239"/>
    <col min="256" max="256" width="14.85546875" style="239" bestFit="1" customWidth="1"/>
    <col min="257" max="257" width="21" style="239" customWidth="1"/>
    <col min="258" max="258" width="50.85546875" style="239" bestFit="1" customWidth="1"/>
    <col min="259" max="259" width="55.85546875" style="239" bestFit="1" customWidth="1"/>
    <col min="260" max="260" width="26.140625" style="239" customWidth="1"/>
    <col min="261" max="261" width="0" style="239" hidden="1" customWidth="1"/>
    <col min="262" max="262" width="7.42578125" style="239" customWidth="1"/>
    <col min="263" max="263" width="14.5703125" style="239" customWidth="1"/>
    <col min="264" max="511" width="9.140625" style="239"/>
    <col min="512" max="512" width="14.85546875" style="239" bestFit="1" customWidth="1"/>
    <col min="513" max="513" width="21" style="239" customWidth="1"/>
    <col min="514" max="514" width="50.85546875" style="239" bestFit="1" customWidth="1"/>
    <col min="515" max="515" width="55.85546875" style="239" bestFit="1" customWidth="1"/>
    <col min="516" max="516" width="26.140625" style="239" customWidth="1"/>
    <col min="517" max="517" width="0" style="239" hidden="1" customWidth="1"/>
    <col min="518" max="518" width="7.42578125" style="239" customWidth="1"/>
    <col min="519" max="519" width="14.5703125" style="239" customWidth="1"/>
    <col min="520" max="767" width="9.140625" style="239"/>
    <col min="768" max="768" width="14.85546875" style="239" bestFit="1" customWidth="1"/>
    <col min="769" max="769" width="21" style="239" customWidth="1"/>
    <col min="770" max="770" width="50.85546875" style="239" bestFit="1" customWidth="1"/>
    <col min="771" max="771" width="55.85546875" style="239" bestFit="1" customWidth="1"/>
    <col min="772" max="772" width="26.140625" style="239" customWidth="1"/>
    <col min="773" max="773" width="0" style="239" hidden="1" customWidth="1"/>
    <col min="774" max="774" width="7.42578125" style="239" customWidth="1"/>
    <col min="775" max="775" width="14.5703125" style="239" customWidth="1"/>
    <col min="776" max="1023" width="9.140625" style="239"/>
    <col min="1024" max="1024" width="14.85546875" style="239" bestFit="1" customWidth="1"/>
    <col min="1025" max="1025" width="21" style="239" customWidth="1"/>
    <col min="1026" max="1026" width="50.85546875" style="239" bestFit="1" customWidth="1"/>
    <col min="1027" max="1027" width="55.85546875" style="239" bestFit="1" customWidth="1"/>
    <col min="1028" max="1028" width="26.140625" style="239" customWidth="1"/>
    <col min="1029" max="1029" width="0" style="239" hidden="1" customWidth="1"/>
    <col min="1030" max="1030" width="7.42578125" style="239" customWidth="1"/>
    <col min="1031" max="1031" width="14.5703125" style="239" customWidth="1"/>
    <col min="1032" max="1279" width="9.140625" style="239"/>
    <col min="1280" max="1280" width="14.85546875" style="239" bestFit="1" customWidth="1"/>
    <col min="1281" max="1281" width="21" style="239" customWidth="1"/>
    <col min="1282" max="1282" width="50.85546875" style="239" bestFit="1" customWidth="1"/>
    <col min="1283" max="1283" width="55.85546875" style="239" bestFit="1" customWidth="1"/>
    <col min="1284" max="1284" width="26.140625" style="239" customWidth="1"/>
    <col min="1285" max="1285" width="0" style="239" hidden="1" customWidth="1"/>
    <col min="1286" max="1286" width="7.42578125" style="239" customWidth="1"/>
    <col min="1287" max="1287" width="14.5703125" style="239" customWidth="1"/>
    <col min="1288" max="1535" width="9.140625" style="239"/>
    <col min="1536" max="1536" width="14.85546875" style="239" bestFit="1" customWidth="1"/>
    <col min="1537" max="1537" width="21" style="239" customWidth="1"/>
    <col min="1538" max="1538" width="50.85546875" style="239" bestFit="1" customWidth="1"/>
    <col min="1539" max="1539" width="55.85546875" style="239" bestFit="1" customWidth="1"/>
    <col min="1540" max="1540" width="26.140625" style="239" customWidth="1"/>
    <col min="1541" max="1541" width="0" style="239" hidden="1" customWidth="1"/>
    <col min="1542" max="1542" width="7.42578125" style="239" customWidth="1"/>
    <col min="1543" max="1543" width="14.5703125" style="239" customWidth="1"/>
    <col min="1544" max="1791" width="9.140625" style="239"/>
    <col min="1792" max="1792" width="14.85546875" style="239" bestFit="1" customWidth="1"/>
    <col min="1793" max="1793" width="21" style="239" customWidth="1"/>
    <col min="1794" max="1794" width="50.85546875" style="239" bestFit="1" customWidth="1"/>
    <col min="1795" max="1795" width="55.85546875" style="239" bestFit="1" customWidth="1"/>
    <col min="1796" max="1796" width="26.140625" style="239" customWidth="1"/>
    <col min="1797" max="1797" width="0" style="239" hidden="1" customWidth="1"/>
    <col min="1798" max="1798" width="7.42578125" style="239" customWidth="1"/>
    <col min="1799" max="1799" width="14.5703125" style="239" customWidth="1"/>
    <col min="1800" max="2047" width="9.140625" style="239"/>
    <col min="2048" max="2048" width="14.85546875" style="239" bestFit="1" customWidth="1"/>
    <col min="2049" max="2049" width="21" style="239" customWidth="1"/>
    <col min="2050" max="2050" width="50.85546875" style="239" bestFit="1" customWidth="1"/>
    <col min="2051" max="2051" width="55.85546875" style="239" bestFit="1" customWidth="1"/>
    <col min="2052" max="2052" width="26.140625" style="239" customWidth="1"/>
    <col min="2053" max="2053" width="0" style="239" hidden="1" customWidth="1"/>
    <col min="2054" max="2054" width="7.42578125" style="239" customWidth="1"/>
    <col min="2055" max="2055" width="14.5703125" style="239" customWidth="1"/>
    <col min="2056" max="2303" width="9.140625" style="239"/>
    <col min="2304" max="2304" width="14.85546875" style="239" bestFit="1" customWidth="1"/>
    <col min="2305" max="2305" width="21" style="239" customWidth="1"/>
    <col min="2306" max="2306" width="50.85546875" style="239" bestFit="1" customWidth="1"/>
    <col min="2307" max="2307" width="55.85546875" style="239" bestFit="1" customWidth="1"/>
    <col min="2308" max="2308" width="26.140625" style="239" customWidth="1"/>
    <col min="2309" max="2309" width="0" style="239" hidden="1" customWidth="1"/>
    <col min="2310" max="2310" width="7.42578125" style="239" customWidth="1"/>
    <col min="2311" max="2311" width="14.5703125" style="239" customWidth="1"/>
    <col min="2312" max="2559" width="9.140625" style="239"/>
    <col min="2560" max="2560" width="14.85546875" style="239" bestFit="1" customWidth="1"/>
    <col min="2561" max="2561" width="21" style="239" customWidth="1"/>
    <col min="2562" max="2562" width="50.85546875" style="239" bestFit="1" customWidth="1"/>
    <col min="2563" max="2563" width="55.85546875" style="239" bestFit="1" customWidth="1"/>
    <col min="2564" max="2564" width="26.140625" style="239" customWidth="1"/>
    <col min="2565" max="2565" width="0" style="239" hidden="1" customWidth="1"/>
    <col min="2566" max="2566" width="7.42578125" style="239" customWidth="1"/>
    <col min="2567" max="2567" width="14.5703125" style="239" customWidth="1"/>
    <col min="2568" max="2815" width="9.140625" style="239"/>
    <col min="2816" max="2816" width="14.85546875" style="239" bestFit="1" customWidth="1"/>
    <col min="2817" max="2817" width="21" style="239" customWidth="1"/>
    <col min="2818" max="2818" width="50.85546875" style="239" bestFit="1" customWidth="1"/>
    <col min="2819" max="2819" width="55.85546875" style="239" bestFit="1" customWidth="1"/>
    <col min="2820" max="2820" width="26.140625" style="239" customWidth="1"/>
    <col min="2821" max="2821" width="0" style="239" hidden="1" customWidth="1"/>
    <col min="2822" max="2822" width="7.42578125" style="239" customWidth="1"/>
    <col min="2823" max="2823" width="14.5703125" style="239" customWidth="1"/>
    <col min="2824" max="3071" width="9.140625" style="239"/>
    <col min="3072" max="3072" width="14.85546875" style="239" bestFit="1" customWidth="1"/>
    <col min="3073" max="3073" width="21" style="239" customWidth="1"/>
    <col min="3074" max="3074" width="50.85546875" style="239" bestFit="1" customWidth="1"/>
    <col min="3075" max="3075" width="55.85546875" style="239" bestFit="1" customWidth="1"/>
    <col min="3076" max="3076" width="26.140625" style="239" customWidth="1"/>
    <col min="3077" max="3077" width="0" style="239" hidden="1" customWidth="1"/>
    <col min="3078" max="3078" width="7.42578125" style="239" customWidth="1"/>
    <col min="3079" max="3079" width="14.5703125" style="239" customWidth="1"/>
    <col min="3080" max="3327" width="9.140625" style="239"/>
    <col min="3328" max="3328" width="14.85546875" style="239" bestFit="1" customWidth="1"/>
    <col min="3329" max="3329" width="21" style="239" customWidth="1"/>
    <col min="3330" max="3330" width="50.85546875" style="239" bestFit="1" customWidth="1"/>
    <col min="3331" max="3331" width="55.85546875" style="239" bestFit="1" customWidth="1"/>
    <col min="3332" max="3332" width="26.140625" style="239" customWidth="1"/>
    <col min="3333" max="3333" width="0" style="239" hidden="1" customWidth="1"/>
    <col min="3334" max="3334" width="7.42578125" style="239" customWidth="1"/>
    <col min="3335" max="3335" width="14.5703125" style="239" customWidth="1"/>
    <col min="3336" max="3583" width="9.140625" style="239"/>
    <col min="3584" max="3584" width="14.85546875" style="239" bestFit="1" customWidth="1"/>
    <col min="3585" max="3585" width="21" style="239" customWidth="1"/>
    <col min="3586" max="3586" width="50.85546875" style="239" bestFit="1" customWidth="1"/>
    <col min="3587" max="3587" width="55.85546875" style="239" bestFit="1" customWidth="1"/>
    <col min="3588" max="3588" width="26.140625" style="239" customWidth="1"/>
    <col min="3589" max="3589" width="0" style="239" hidden="1" customWidth="1"/>
    <col min="3590" max="3590" width="7.42578125" style="239" customWidth="1"/>
    <col min="3591" max="3591" width="14.5703125" style="239" customWidth="1"/>
    <col min="3592" max="3839" width="9.140625" style="239"/>
    <col min="3840" max="3840" width="14.85546875" style="239" bestFit="1" customWidth="1"/>
    <col min="3841" max="3841" width="21" style="239" customWidth="1"/>
    <col min="3842" max="3842" width="50.85546875" style="239" bestFit="1" customWidth="1"/>
    <col min="3843" max="3843" width="55.85546875" style="239" bestFit="1" customWidth="1"/>
    <col min="3844" max="3844" width="26.140625" style="239" customWidth="1"/>
    <col min="3845" max="3845" width="0" style="239" hidden="1" customWidth="1"/>
    <col min="3846" max="3846" width="7.42578125" style="239" customWidth="1"/>
    <col min="3847" max="3847" width="14.5703125" style="239" customWidth="1"/>
    <col min="3848" max="4095" width="9.140625" style="239"/>
    <col min="4096" max="4096" width="14.85546875" style="239" bestFit="1" customWidth="1"/>
    <col min="4097" max="4097" width="21" style="239" customWidth="1"/>
    <col min="4098" max="4098" width="50.85546875" style="239" bestFit="1" customWidth="1"/>
    <col min="4099" max="4099" width="55.85546875" style="239" bestFit="1" customWidth="1"/>
    <col min="4100" max="4100" width="26.140625" style="239" customWidth="1"/>
    <col min="4101" max="4101" width="0" style="239" hidden="1" customWidth="1"/>
    <col min="4102" max="4102" width="7.42578125" style="239" customWidth="1"/>
    <col min="4103" max="4103" width="14.5703125" style="239" customWidth="1"/>
    <col min="4104" max="4351" width="9.140625" style="239"/>
    <col min="4352" max="4352" width="14.85546875" style="239" bestFit="1" customWidth="1"/>
    <col min="4353" max="4353" width="21" style="239" customWidth="1"/>
    <col min="4354" max="4354" width="50.85546875" style="239" bestFit="1" customWidth="1"/>
    <col min="4355" max="4355" width="55.85546875" style="239" bestFit="1" customWidth="1"/>
    <col min="4356" max="4356" width="26.140625" style="239" customWidth="1"/>
    <col min="4357" max="4357" width="0" style="239" hidden="1" customWidth="1"/>
    <col min="4358" max="4358" width="7.42578125" style="239" customWidth="1"/>
    <col min="4359" max="4359" width="14.5703125" style="239" customWidth="1"/>
    <col min="4360" max="4607" width="9.140625" style="239"/>
    <col min="4608" max="4608" width="14.85546875" style="239" bestFit="1" customWidth="1"/>
    <col min="4609" max="4609" width="21" style="239" customWidth="1"/>
    <col min="4610" max="4610" width="50.85546875" style="239" bestFit="1" customWidth="1"/>
    <col min="4611" max="4611" width="55.85546875" style="239" bestFit="1" customWidth="1"/>
    <col min="4612" max="4612" width="26.140625" style="239" customWidth="1"/>
    <col min="4613" max="4613" width="0" style="239" hidden="1" customWidth="1"/>
    <col min="4614" max="4614" width="7.42578125" style="239" customWidth="1"/>
    <col min="4615" max="4615" width="14.5703125" style="239" customWidth="1"/>
    <col min="4616" max="4863" width="9.140625" style="239"/>
    <col min="4864" max="4864" width="14.85546875" style="239" bestFit="1" customWidth="1"/>
    <col min="4865" max="4865" width="21" style="239" customWidth="1"/>
    <col min="4866" max="4866" width="50.85546875" style="239" bestFit="1" customWidth="1"/>
    <col min="4867" max="4867" width="55.85546875" style="239" bestFit="1" customWidth="1"/>
    <col min="4868" max="4868" width="26.140625" style="239" customWidth="1"/>
    <col min="4869" max="4869" width="0" style="239" hidden="1" customWidth="1"/>
    <col min="4870" max="4870" width="7.42578125" style="239" customWidth="1"/>
    <col min="4871" max="4871" width="14.5703125" style="239" customWidth="1"/>
    <col min="4872" max="5119" width="9.140625" style="239"/>
    <col min="5120" max="5120" width="14.85546875" style="239" bestFit="1" customWidth="1"/>
    <col min="5121" max="5121" width="21" style="239" customWidth="1"/>
    <col min="5122" max="5122" width="50.85546875" style="239" bestFit="1" customWidth="1"/>
    <col min="5123" max="5123" width="55.85546875" style="239" bestFit="1" customWidth="1"/>
    <col min="5124" max="5124" width="26.140625" style="239" customWidth="1"/>
    <col min="5125" max="5125" width="0" style="239" hidden="1" customWidth="1"/>
    <col min="5126" max="5126" width="7.42578125" style="239" customWidth="1"/>
    <col min="5127" max="5127" width="14.5703125" style="239" customWidth="1"/>
    <col min="5128" max="5375" width="9.140625" style="239"/>
    <col min="5376" max="5376" width="14.85546875" style="239" bestFit="1" customWidth="1"/>
    <col min="5377" max="5377" width="21" style="239" customWidth="1"/>
    <col min="5378" max="5378" width="50.85546875" style="239" bestFit="1" customWidth="1"/>
    <col min="5379" max="5379" width="55.85546875" style="239" bestFit="1" customWidth="1"/>
    <col min="5380" max="5380" width="26.140625" style="239" customWidth="1"/>
    <col min="5381" max="5381" width="0" style="239" hidden="1" customWidth="1"/>
    <col min="5382" max="5382" width="7.42578125" style="239" customWidth="1"/>
    <col min="5383" max="5383" width="14.5703125" style="239" customWidth="1"/>
    <col min="5384" max="5631" width="9.140625" style="239"/>
    <col min="5632" max="5632" width="14.85546875" style="239" bestFit="1" customWidth="1"/>
    <col min="5633" max="5633" width="21" style="239" customWidth="1"/>
    <col min="5634" max="5634" width="50.85546875" style="239" bestFit="1" customWidth="1"/>
    <col min="5635" max="5635" width="55.85546875" style="239" bestFit="1" customWidth="1"/>
    <col min="5636" max="5636" width="26.140625" style="239" customWidth="1"/>
    <col min="5637" max="5637" width="0" style="239" hidden="1" customWidth="1"/>
    <col min="5638" max="5638" width="7.42578125" style="239" customWidth="1"/>
    <col min="5639" max="5639" width="14.5703125" style="239" customWidth="1"/>
    <col min="5640" max="5887" width="9.140625" style="239"/>
    <col min="5888" max="5888" width="14.85546875" style="239" bestFit="1" customWidth="1"/>
    <col min="5889" max="5889" width="21" style="239" customWidth="1"/>
    <col min="5890" max="5890" width="50.85546875" style="239" bestFit="1" customWidth="1"/>
    <col min="5891" max="5891" width="55.85546875" style="239" bestFit="1" customWidth="1"/>
    <col min="5892" max="5892" width="26.140625" style="239" customWidth="1"/>
    <col min="5893" max="5893" width="0" style="239" hidden="1" customWidth="1"/>
    <col min="5894" max="5894" width="7.42578125" style="239" customWidth="1"/>
    <col min="5895" max="5895" width="14.5703125" style="239" customWidth="1"/>
    <col min="5896" max="6143" width="9.140625" style="239"/>
    <col min="6144" max="6144" width="14.85546875" style="239" bestFit="1" customWidth="1"/>
    <col min="6145" max="6145" width="21" style="239" customWidth="1"/>
    <col min="6146" max="6146" width="50.85546875" style="239" bestFit="1" customWidth="1"/>
    <col min="6147" max="6147" width="55.85546875" style="239" bestFit="1" customWidth="1"/>
    <col min="6148" max="6148" width="26.140625" style="239" customWidth="1"/>
    <col min="6149" max="6149" width="0" style="239" hidden="1" customWidth="1"/>
    <col min="6150" max="6150" width="7.42578125" style="239" customWidth="1"/>
    <col min="6151" max="6151" width="14.5703125" style="239" customWidth="1"/>
    <col min="6152" max="6399" width="9.140625" style="239"/>
    <col min="6400" max="6400" width="14.85546875" style="239" bestFit="1" customWidth="1"/>
    <col min="6401" max="6401" width="21" style="239" customWidth="1"/>
    <col min="6402" max="6402" width="50.85546875" style="239" bestFit="1" customWidth="1"/>
    <col min="6403" max="6403" width="55.85546875" style="239" bestFit="1" customWidth="1"/>
    <col min="6404" max="6404" width="26.140625" style="239" customWidth="1"/>
    <col min="6405" max="6405" width="0" style="239" hidden="1" customWidth="1"/>
    <col min="6406" max="6406" width="7.42578125" style="239" customWidth="1"/>
    <col min="6407" max="6407" width="14.5703125" style="239" customWidth="1"/>
    <col min="6408" max="6655" width="9.140625" style="239"/>
    <col min="6656" max="6656" width="14.85546875" style="239" bestFit="1" customWidth="1"/>
    <col min="6657" max="6657" width="21" style="239" customWidth="1"/>
    <col min="6658" max="6658" width="50.85546875" style="239" bestFit="1" customWidth="1"/>
    <col min="6659" max="6659" width="55.85546875" style="239" bestFit="1" customWidth="1"/>
    <col min="6660" max="6660" width="26.140625" style="239" customWidth="1"/>
    <col min="6661" max="6661" width="0" style="239" hidden="1" customWidth="1"/>
    <col min="6662" max="6662" width="7.42578125" style="239" customWidth="1"/>
    <col min="6663" max="6663" width="14.5703125" style="239" customWidth="1"/>
    <col min="6664" max="6911" width="9.140625" style="239"/>
    <col min="6912" max="6912" width="14.85546875" style="239" bestFit="1" customWidth="1"/>
    <col min="6913" max="6913" width="21" style="239" customWidth="1"/>
    <col min="6914" max="6914" width="50.85546875" style="239" bestFit="1" customWidth="1"/>
    <col min="6915" max="6915" width="55.85546875" style="239" bestFit="1" customWidth="1"/>
    <col min="6916" max="6916" width="26.140625" style="239" customWidth="1"/>
    <col min="6917" max="6917" width="0" style="239" hidden="1" customWidth="1"/>
    <col min="6918" max="6918" width="7.42578125" style="239" customWidth="1"/>
    <col min="6919" max="6919" width="14.5703125" style="239" customWidth="1"/>
    <col min="6920" max="7167" width="9.140625" style="239"/>
    <col min="7168" max="7168" width="14.85546875" style="239" bestFit="1" customWidth="1"/>
    <col min="7169" max="7169" width="21" style="239" customWidth="1"/>
    <col min="7170" max="7170" width="50.85546875" style="239" bestFit="1" customWidth="1"/>
    <col min="7171" max="7171" width="55.85546875" style="239" bestFit="1" customWidth="1"/>
    <col min="7172" max="7172" width="26.140625" style="239" customWidth="1"/>
    <col min="7173" max="7173" width="0" style="239" hidden="1" customWidth="1"/>
    <col min="7174" max="7174" width="7.42578125" style="239" customWidth="1"/>
    <col min="7175" max="7175" width="14.5703125" style="239" customWidth="1"/>
    <col min="7176" max="7423" width="9.140625" style="239"/>
    <col min="7424" max="7424" width="14.85546875" style="239" bestFit="1" customWidth="1"/>
    <col min="7425" max="7425" width="21" style="239" customWidth="1"/>
    <col min="7426" max="7426" width="50.85546875" style="239" bestFit="1" customWidth="1"/>
    <col min="7427" max="7427" width="55.85546875" style="239" bestFit="1" customWidth="1"/>
    <col min="7428" max="7428" width="26.140625" style="239" customWidth="1"/>
    <col min="7429" max="7429" width="0" style="239" hidden="1" customWidth="1"/>
    <col min="7430" max="7430" width="7.42578125" style="239" customWidth="1"/>
    <col min="7431" max="7431" width="14.5703125" style="239" customWidth="1"/>
    <col min="7432" max="7679" width="9.140625" style="239"/>
    <col min="7680" max="7680" width="14.85546875" style="239" bestFit="1" customWidth="1"/>
    <col min="7681" max="7681" width="21" style="239" customWidth="1"/>
    <col min="7682" max="7682" width="50.85546875" style="239" bestFit="1" customWidth="1"/>
    <col min="7683" max="7683" width="55.85546875" style="239" bestFit="1" customWidth="1"/>
    <col min="7684" max="7684" width="26.140625" style="239" customWidth="1"/>
    <col min="7685" max="7685" width="0" style="239" hidden="1" customWidth="1"/>
    <col min="7686" max="7686" width="7.42578125" style="239" customWidth="1"/>
    <col min="7687" max="7687" width="14.5703125" style="239" customWidth="1"/>
    <col min="7688" max="7935" width="9.140625" style="239"/>
    <col min="7936" max="7936" width="14.85546875" style="239" bestFit="1" customWidth="1"/>
    <col min="7937" max="7937" width="21" style="239" customWidth="1"/>
    <col min="7938" max="7938" width="50.85546875" style="239" bestFit="1" customWidth="1"/>
    <col min="7939" max="7939" width="55.85546875" style="239" bestFit="1" customWidth="1"/>
    <col min="7940" max="7940" width="26.140625" style="239" customWidth="1"/>
    <col min="7941" max="7941" width="0" style="239" hidden="1" customWidth="1"/>
    <col min="7942" max="7942" width="7.42578125" style="239" customWidth="1"/>
    <col min="7943" max="7943" width="14.5703125" style="239" customWidth="1"/>
    <col min="7944" max="8191" width="9.140625" style="239"/>
    <col min="8192" max="8192" width="14.85546875" style="239" bestFit="1" customWidth="1"/>
    <col min="8193" max="8193" width="21" style="239" customWidth="1"/>
    <col min="8194" max="8194" width="50.85546875" style="239" bestFit="1" customWidth="1"/>
    <col min="8195" max="8195" width="55.85546875" style="239" bestFit="1" customWidth="1"/>
    <col min="8196" max="8196" width="26.140625" style="239" customWidth="1"/>
    <col min="8197" max="8197" width="0" style="239" hidden="1" customWidth="1"/>
    <col min="8198" max="8198" width="7.42578125" style="239" customWidth="1"/>
    <col min="8199" max="8199" width="14.5703125" style="239" customWidth="1"/>
    <col min="8200" max="8447" width="9.140625" style="239"/>
    <col min="8448" max="8448" width="14.85546875" style="239" bestFit="1" customWidth="1"/>
    <col min="8449" max="8449" width="21" style="239" customWidth="1"/>
    <col min="8450" max="8450" width="50.85546875" style="239" bestFit="1" customWidth="1"/>
    <col min="8451" max="8451" width="55.85546875" style="239" bestFit="1" customWidth="1"/>
    <col min="8452" max="8452" width="26.140625" style="239" customWidth="1"/>
    <col min="8453" max="8453" width="0" style="239" hidden="1" customWidth="1"/>
    <col min="8454" max="8454" width="7.42578125" style="239" customWidth="1"/>
    <col min="8455" max="8455" width="14.5703125" style="239" customWidth="1"/>
    <col min="8456" max="8703" width="9.140625" style="239"/>
    <col min="8704" max="8704" width="14.85546875" style="239" bestFit="1" customWidth="1"/>
    <col min="8705" max="8705" width="21" style="239" customWidth="1"/>
    <col min="8706" max="8706" width="50.85546875" style="239" bestFit="1" customWidth="1"/>
    <col min="8707" max="8707" width="55.85546875" style="239" bestFit="1" customWidth="1"/>
    <col min="8708" max="8708" width="26.140625" style="239" customWidth="1"/>
    <col min="8709" max="8709" width="0" style="239" hidden="1" customWidth="1"/>
    <col min="8710" max="8710" width="7.42578125" style="239" customWidth="1"/>
    <col min="8711" max="8711" width="14.5703125" style="239" customWidth="1"/>
    <col min="8712" max="8959" width="9.140625" style="239"/>
    <col min="8960" max="8960" width="14.85546875" style="239" bestFit="1" customWidth="1"/>
    <col min="8961" max="8961" width="21" style="239" customWidth="1"/>
    <col min="8962" max="8962" width="50.85546875" style="239" bestFit="1" customWidth="1"/>
    <col min="8963" max="8963" width="55.85546875" style="239" bestFit="1" customWidth="1"/>
    <col min="8964" max="8964" width="26.140625" style="239" customWidth="1"/>
    <col min="8965" max="8965" width="0" style="239" hidden="1" customWidth="1"/>
    <col min="8966" max="8966" width="7.42578125" style="239" customWidth="1"/>
    <col min="8967" max="8967" width="14.5703125" style="239" customWidth="1"/>
    <col min="8968" max="9215" width="9.140625" style="239"/>
    <col min="9216" max="9216" width="14.85546875" style="239" bestFit="1" customWidth="1"/>
    <col min="9217" max="9217" width="21" style="239" customWidth="1"/>
    <col min="9218" max="9218" width="50.85546875" style="239" bestFit="1" customWidth="1"/>
    <col min="9219" max="9219" width="55.85546875" style="239" bestFit="1" customWidth="1"/>
    <col min="9220" max="9220" width="26.140625" style="239" customWidth="1"/>
    <col min="9221" max="9221" width="0" style="239" hidden="1" customWidth="1"/>
    <col min="9222" max="9222" width="7.42578125" style="239" customWidth="1"/>
    <col min="9223" max="9223" width="14.5703125" style="239" customWidth="1"/>
    <col min="9224" max="9471" width="9.140625" style="239"/>
    <col min="9472" max="9472" width="14.85546875" style="239" bestFit="1" customWidth="1"/>
    <col min="9473" max="9473" width="21" style="239" customWidth="1"/>
    <col min="9474" max="9474" width="50.85546875" style="239" bestFit="1" customWidth="1"/>
    <col min="9475" max="9475" width="55.85546875" style="239" bestFit="1" customWidth="1"/>
    <col min="9476" max="9476" width="26.140625" style="239" customWidth="1"/>
    <col min="9477" max="9477" width="0" style="239" hidden="1" customWidth="1"/>
    <col min="9478" max="9478" width="7.42578125" style="239" customWidth="1"/>
    <col min="9479" max="9479" width="14.5703125" style="239" customWidth="1"/>
    <col min="9480" max="9727" width="9.140625" style="239"/>
    <col min="9728" max="9728" width="14.85546875" style="239" bestFit="1" customWidth="1"/>
    <col min="9729" max="9729" width="21" style="239" customWidth="1"/>
    <col min="9730" max="9730" width="50.85546875" style="239" bestFit="1" customWidth="1"/>
    <col min="9731" max="9731" width="55.85546875" style="239" bestFit="1" customWidth="1"/>
    <col min="9732" max="9732" width="26.140625" style="239" customWidth="1"/>
    <col min="9733" max="9733" width="0" style="239" hidden="1" customWidth="1"/>
    <col min="9734" max="9734" width="7.42578125" style="239" customWidth="1"/>
    <col min="9735" max="9735" width="14.5703125" style="239" customWidth="1"/>
    <col min="9736" max="9983" width="9.140625" style="239"/>
    <col min="9984" max="9984" width="14.85546875" style="239" bestFit="1" customWidth="1"/>
    <col min="9985" max="9985" width="21" style="239" customWidth="1"/>
    <col min="9986" max="9986" width="50.85546875" style="239" bestFit="1" customWidth="1"/>
    <col min="9987" max="9987" width="55.85546875" style="239" bestFit="1" customWidth="1"/>
    <col min="9988" max="9988" width="26.140625" style="239" customWidth="1"/>
    <col min="9989" max="9989" width="0" style="239" hidden="1" customWidth="1"/>
    <col min="9990" max="9990" width="7.42578125" style="239" customWidth="1"/>
    <col min="9991" max="9991" width="14.5703125" style="239" customWidth="1"/>
    <col min="9992" max="10239" width="9.140625" style="239"/>
    <col min="10240" max="10240" width="14.85546875" style="239" bestFit="1" customWidth="1"/>
    <col min="10241" max="10241" width="21" style="239" customWidth="1"/>
    <col min="10242" max="10242" width="50.85546875" style="239" bestFit="1" customWidth="1"/>
    <col min="10243" max="10243" width="55.85546875" style="239" bestFit="1" customWidth="1"/>
    <col min="10244" max="10244" width="26.140625" style="239" customWidth="1"/>
    <col min="10245" max="10245" width="0" style="239" hidden="1" customWidth="1"/>
    <col min="10246" max="10246" width="7.42578125" style="239" customWidth="1"/>
    <col min="10247" max="10247" width="14.5703125" style="239" customWidth="1"/>
    <col min="10248" max="10495" width="9.140625" style="239"/>
    <col min="10496" max="10496" width="14.85546875" style="239" bestFit="1" customWidth="1"/>
    <col min="10497" max="10497" width="21" style="239" customWidth="1"/>
    <col min="10498" max="10498" width="50.85546875" style="239" bestFit="1" customWidth="1"/>
    <col min="10499" max="10499" width="55.85546875" style="239" bestFit="1" customWidth="1"/>
    <col min="10500" max="10500" width="26.140625" style="239" customWidth="1"/>
    <col min="10501" max="10501" width="0" style="239" hidden="1" customWidth="1"/>
    <col min="10502" max="10502" width="7.42578125" style="239" customWidth="1"/>
    <col min="10503" max="10503" width="14.5703125" style="239" customWidth="1"/>
    <col min="10504" max="10751" width="9.140625" style="239"/>
    <col min="10752" max="10752" width="14.85546875" style="239" bestFit="1" customWidth="1"/>
    <col min="10753" max="10753" width="21" style="239" customWidth="1"/>
    <col min="10754" max="10754" width="50.85546875" style="239" bestFit="1" customWidth="1"/>
    <col min="10755" max="10755" width="55.85546875" style="239" bestFit="1" customWidth="1"/>
    <col min="10756" max="10756" width="26.140625" style="239" customWidth="1"/>
    <col min="10757" max="10757" width="0" style="239" hidden="1" customWidth="1"/>
    <col min="10758" max="10758" width="7.42578125" style="239" customWidth="1"/>
    <col min="10759" max="10759" width="14.5703125" style="239" customWidth="1"/>
    <col min="10760" max="11007" width="9.140625" style="239"/>
    <col min="11008" max="11008" width="14.85546875" style="239" bestFit="1" customWidth="1"/>
    <col min="11009" max="11009" width="21" style="239" customWidth="1"/>
    <col min="11010" max="11010" width="50.85546875" style="239" bestFit="1" customWidth="1"/>
    <col min="11011" max="11011" width="55.85546875" style="239" bestFit="1" customWidth="1"/>
    <col min="11012" max="11012" width="26.140625" style="239" customWidth="1"/>
    <col min="11013" max="11013" width="0" style="239" hidden="1" customWidth="1"/>
    <col min="11014" max="11014" width="7.42578125" style="239" customWidth="1"/>
    <col min="11015" max="11015" width="14.5703125" style="239" customWidth="1"/>
    <col min="11016" max="11263" width="9.140625" style="239"/>
    <col min="11264" max="11264" width="14.85546875" style="239" bestFit="1" customWidth="1"/>
    <col min="11265" max="11265" width="21" style="239" customWidth="1"/>
    <col min="11266" max="11266" width="50.85546875" style="239" bestFit="1" customWidth="1"/>
    <col min="11267" max="11267" width="55.85546875" style="239" bestFit="1" customWidth="1"/>
    <col min="11268" max="11268" width="26.140625" style="239" customWidth="1"/>
    <col min="11269" max="11269" width="0" style="239" hidden="1" customWidth="1"/>
    <col min="11270" max="11270" width="7.42578125" style="239" customWidth="1"/>
    <col min="11271" max="11271" width="14.5703125" style="239" customWidth="1"/>
    <col min="11272" max="11519" width="9.140625" style="239"/>
    <col min="11520" max="11520" width="14.85546875" style="239" bestFit="1" customWidth="1"/>
    <col min="11521" max="11521" width="21" style="239" customWidth="1"/>
    <col min="11522" max="11522" width="50.85546875" style="239" bestFit="1" customWidth="1"/>
    <col min="11523" max="11523" width="55.85546875" style="239" bestFit="1" customWidth="1"/>
    <col min="11524" max="11524" width="26.140625" style="239" customWidth="1"/>
    <col min="11525" max="11525" width="0" style="239" hidden="1" customWidth="1"/>
    <col min="11526" max="11526" width="7.42578125" style="239" customWidth="1"/>
    <col min="11527" max="11527" width="14.5703125" style="239" customWidth="1"/>
    <col min="11528" max="11775" width="9.140625" style="239"/>
    <col min="11776" max="11776" width="14.85546875" style="239" bestFit="1" customWidth="1"/>
    <col min="11777" max="11777" width="21" style="239" customWidth="1"/>
    <col min="11778" max="11778" width="50.85546875" style="239" bestFit="1" customWidth="1"/>
    <col min="11779" max="11779" width="55.85546875" style="239" bestFit="1" customWidth="1"/>
    <col min="11780" max="11780" width="26.140625" style="239" customWidth="1"/>
    <col min="11781" max="11781" width="0" style="239" hidden="1" customWidth="1"/>
    <col min="11782" max="11782" width="7.42578125" style="239" customWidth="1"/>
    <col min="11783" max="11783" width="14.5703125" style="239" customWidth="1"/>
    <col min="11784" max="12031" width="9.140625" style="239"/>
    <col min="12032" max="12032" width="14.85546875" style="239" bestFit="1" customWidth="1"/>
    <col min="12033" max="12033" width="21" style="239" customWidth="1"/>
    <col min="12034" max="12034" width="50.85546875" style="239" bestFit="1" customWidth="1"/>
    <col min="12035" max="12035" width="55.85546875" style="239" bestFit="1" customWidth="1"/>
    <col min="12036" max="12036" width="26.140625" style="239" customWidth="1"/>
    <col min="12037" max="12037" width="0" style="239" hidden="1" customWidth="1"/>
    <col min="12038" max="12038" width="7.42578125" style="239" customWidth="1"/>
    <col min="12039" max="12039" width="14.5703125" style="239" customWidth="1"/>
    <col min="12040" max="12287" width="9.140625" style="239"/>
    <col min="12288" max="12288" width="14.85546875" style="239" bestFit="1" customWidth="1"/>
    <col min="12289" max="12289" width="21" style="239" customWidth="1"/>
    <col min="12290" max="12290" width="50.85546875" style="239" bestFit="1" customWidth="1"/>
    <col min="12291" max="12291" width="55.85546875" style="239" bestFit="1" customWidth="1"/>
    <col min="12292" max="12292" width="26.140625" style="239" customWidth="1"/>
    <col min="12293" max="12293" width="0" style="239" hidden="1" customWidth="1"/>
    <col min="12294" max="12294" width="7.42578125" style="239" customWidth="1"/>
    <col min="12295" max="12295" width="14.5703125" style="239" customWidth="1"/>
    <col min="12296" max="12543" width="9.140625" style="239"/>
    <col min="12544" max="12544" width="14.85546875" style="239" bestFit="1" customWidth="1"/>
    <col min="12545" max="12545" width="21" style="239" customWidth="1"/>
    <col min="12546" max="12546" width="50.85546875" style="239" bestFit="1" customWidth="1"/>
    <col min="12547" max="12547" width="55.85546875" style="239" bestFit="1" customWidth="1"/>
    <col min="12548" max="12548" width="26.140625" style="239" customWidth="1"/>
    <col min="12549" max="12549" width="0" style="239" hidden="1" customWidth="1"/>
    <col min="12550" max="12550" width="7.42578125" style="239" customWidth="1"/>
    <col min="12551" max="12551" width="14.5703125" style="239" customWidth="1"/>
    <col min="12552" max="12799" width="9.140625" style="239"/>
    <col min="12800" max="12800" width="14.85546875" style="239" bestFit="1" customWidth="1"/>
    <col min="12801" max="12801" width="21" style="239" customWidth="1"/>
    <col min="12802" max="12802" width="50.85546875" style="239" bestFit="1" customWidth="1"/>
    <col min="12803" max="12803" width="55.85546875" style="239" bestFit="1" customWidth="1"/>
    <col min="12804" max="12804" width="26.140625" style="239" customWidth="1"/>
    <col min="12805" max="12805" width="0" style="239" hidden="1" customWidth="1"/>
    <col min="12806" max="12806" width="7.42578125" style="239" customWidth="1"/>
    <col min="12807" max="12807" width="14.5703125" style="239" customWidth="1"/>
    <col min="12808" max="13055" width="9.140625" style="239"/>
    <col min="13056" max="13056" width="14.85546875" style="239" bestFit="1" customWidth="1"/>
    <col min="13057" max="13057" width="21" style="239" customWidth="1"/>
    <col min="13058" max="13058" width="50.85546875" style="239" bestFit="1" customWidth="1"/>
    <col min="13059" max="13059" width="55.85546875" style="239" bestFit="1" customWidth="1"/>
    <col min="13060" max="13060" width="26.140625" style="239" customWidth="1"/>
    <col min="13061" max="13061" width="0" style="239" hidden="1" customWidth="1"/>
    <col min="13062" max="13062" width="7.42578125" style="239" customWidth="1"/>
    <col min="13063" max="13063" width="14.5703125" style="239" customWidth="1"/>
    <col min="13064" max="13311" width="9.140625" style="239"/>
    <col min="13312" max="13312" width="14.85546875" style="239" bestFit="1" customWidth="1"/>
    <col min="13313" max="13313" width="21" style="239" customWidth="1"/>
    <col min="13314" max="13314" width="50.85546875" style="239" bestFit="1" customWidth="1"/>
    <col min="13315" max="13315" width="55.85546875" style="239" bestFit="1" customWidth="1"/>
    <col min="13316" max="13316" width="26.140625" style="239" customWidth="1"/>
    <col min="13317" max="13317" width="0" style="239" hidden="1" customWidth="1"/>
    <col min="13318" max="13318" width="7.42578125" style="239" customWidth="1"/>
    <col min="13319" max="13319" width="14.5703125" style="239" customWidth="1"/>
    <col min="13320" max="13567" width="9.140625" style="239"/>
    <col min="13568" max="13568" width="14.85546875" style="239" bestFit="1" customWidth="1"/>
    <col min="13569" max="13569" width="21" style="239" customWidth="1"/>
    <col min="13570" max="13570" width="50.85546875" style="239" bestFit="1" customWidth="1"/>
    <col min="13571" max="13571" width="55.85546875" style="239" bestFit="1" customWidth="1"/>
    <col min="13572" max="13572" width="26.140625" style="239" customWidth="1"/>
    <col min="13573" max="13573" width="0" style="239" hidden="1" customWidth="1"/>
    <col min="13574" max="13574" width="7.42578125" style="239" customWidth="1"/>
    <col min="13575" max="13575" width="14.5703125" style="239" customWidth="1"/>
    <col min="13576" max="13823" width="9.140625" style="239"/>
    <col min="13824" max="13824" width="14.85546875" style="239" bestFit="1" customWidth="1"/>
    <col min="13825" max="13825" width="21" style="239" customWidth="1"/>
    <col min="13826" max="13826" width="50.85546875" style="239" bestFit="1" customWidth="1"/>
    <col min="13827" max="13827" width="55.85546875" style="239" bestFit="1" customWidth="1"/>
    <col min="13828" max="13828" width="26.140625" style="239" customWidth="1"/>
    <col min="13829" max="13829" width="0" style="239" hidden="1" customWidth="1"/>
    <col min="13830" max="13830" width="7.42578125" style="239" customWidth="1"/>
    <col min="13831" max="13831" width="14.5703125" style="239" customWidth="1"/>
    <col min="13832" max="14079" width="9.140625" style="239"/>
    <col min="14080" max="14080" width="14.85546875" style="239" bestFit="1" customWidth="1"/>
    <col min="14081" max="14081" width="21" style="239" customWidth="1"/>
    <col min="14082" max="14082" width="50.85546875" style="239" bestFit="1" customWidth="1"/>
    <col min="14083" max="14083" width="55.85546875" style="239" bestFit="1" customWidth="1"/>
    <col min="14084" max="14084" width="26.140625" style="239" customWidth="1"/>
    <col min="14085" max="14085" width="0" style="239" hidden="1" customWidth="1"/>
    <col min="14086" max="14086" width="7.42578125" style="239" customWidth="1"/>
    <col min="14087" max="14087" width="14.5703125" style="239" customWidth="1"/>
    <col min="14088" max="14335" width="9.140625" style="239"/>
    <col min="14336" max="14336" width="14.85546875" style="239" bestFit="1" customWidth="1"/>
    <col min="14337" max="14337" width="21" style="239" customWidth="1"/>
    <col min="14338" max="14338" width="50.85546875" style="239" bestFit="1" customWidth="1"/>
    <col min="14339" max="14339" width="55.85546875" style="239" bestFit="1" customWidth="1"/>
    <col min="14340" max="14340" width="26.140625" style="239" customWidth="1"/>
    <col min="14341" max="14341" width="0" style="239" hidden="1" customWidth="1"/>
    <col min="14342" max="14342" width="7.42578125" style="239" customWidth="1"/>
    <col min="14343" max="14343" width="14.5703125" style="239" customWidth="1"/>
    <col min="14344" max="14591" width="9.140625" style="239"/>
    <col min="14592" max="14592" width="14.85546875" style="239" bestFit="1" customWidth="1"/>
    <col min="14593" max="14593" width="21" style="239" customWidth="1"/>
    <col min="14594" max="14594" width="50.85546875" style="239" bestFit="1" customWidth="1"/>
    <col min="14595" max="14595" width="55.85546875" style="239" bestFit="1" customWidth="1"/>
    <col min="14596" max="14596" width="26.140625" style="239" customWidth="1"/>
    <col min="14597" max="14597" width="0" style="239" hidden="1" customWidth="1"/>
    <col min="14598" max="14598" width="7.42578125" style="239" customWidth="1"/>
    <col min="14599" max="14599" width="14.5703125" style="239" customWidth="1"/>
    <col min="14600" max="14847" width="9.140625" style="239"/>
    <col min="14848" max="14848" width="14.85546875" style="239" bestFit="1" customWidth="1"/>
    <col min="14849" max="14849" width="21" style="239" customWidth="1"/>
    <col min="14850" max="14850" width="50.85546875" style="239" bestFit="1" customWidth="1"/>
    <col min="14851" max="14851" width="55.85546875" style="239" bestFit="1" customWidth="1"/>
    <col min="14852" max="14852" width="26.140625" style="239" customWidth="1"/>
    <col min="14853" max="14853" width="0" style="239" hidden="1" customWidth="1"/>
    <col min="14854" max="14854" width="7.42578125" style="239" customWidth="1"/>
    <col min="14855" max="14855" width="14.5703125" style="239" customWidth="1"/>
    <col min="14856" max="15103" width="9.140625" style="239"/>
    <col min="15104" max="15104" width="14.85546875" style="239" bestFit="1" customWidth="1"/>
    <col min="15105" max="15105" width="21" style="239" customWidth="1"/>
    <col min="15106" max="15106" width="50.85546875" style="239" bestFit="1" customWidth="1"/>
    <col min="15107" max="15107" width="55.85546875" style="239" bestFit="1" customWidth="1"/>
    <col min="15108" max="15108" width="26.140625" style="239" customWidth="1"/>
    <col min="15109" max="15109" width="0" style="239" hidden="1" customWidth="1"/>
    <col min="15110" max="15110" width="7.42578125" style="239" customWidth="1"/>
    <col min="15111" max="15111" width="14.5703125" style="239" customWidth="1"/>
    <col min="15112" max="15359" width="9.140625" style="239"/>
    <col min="15360" max="15360" width="14.85546875" style="239" bestFit="1" customWidth="1"/>
    <col min="15361" max="15361" width="21" style="239" customWidth="1"/>
    <col min="15362" max="15362" width="50.85546875" style="239" bestFit="1" customWidth="1"/>
    <col min="15363" max="15363" width="55.85546875" style="239" bestFit="1" customWidth="1"/>
    <col min="15364" max="15364" width="26.140625" style="239" customWidth="1"/>
    <col min="15365" max="15365" width="0" style="239" hidden="1" customWidth="1"/>
    <col min="15366" max="15366" width="7.42578125" style="239" customWidth="1"/>
    <col min="15367" max="15367" width="14.5703125" style="239" customWidth="1"/>
    <col min="15368" max="15615" width="9.140625" style="239"/>
    <col min="15616" max="15616" width="14.85546875" style="239" bestFit="1" customWidth="1"/>
    <col min="15617" max="15617" width="21" style="239" customWidth="1"/>
    <col min="15618" max="15618" width="50.85546875" style="239" bestFit="1" customWidth="1"/>
    <col min="15619" max="15619" width="55.85546875" style="239" bestFit="1" customWidth="1"/>
    <col min="15620" max="15620" width="26.140625" style="239" customWidth="1"/>
    <col min="15621" max="15621" width="0" style="239" hidden="1" customWidth="1"/>
    <col min="15622" max="15622" width="7.42578125" style="239" customWidth="1"/>
    <col min="15623" max="15623" width="14.5703125" style="239" customWidth="1"/>
    <col min="15624" max="15871" width="9.140625" style="239"/>
    <col min="15872" max="15872" width="14.85546875" style="239" bestFit="1" customWidth="1"/>
    <col min="15873" max="15873" width="21" style="239" customWidth="1"/>
    <col min="15874" max="15874" width="50.85546875" style="239" bestFit="1" customWidth="1"/>
    <col min="15875" max="15875" width="55.85546875" style="239" bestFit="1" customWidth="1"/>
    <col min="15876" max="15876" width="26.140625" style="239" customWidth="1"/>
    <col min="15877" max="15877" width="0" style="239" hidden="1" customWidth="1"/>
    <col min="15878" max="15878" width="7.42578125" style="239" customWidth="1"/>
    <col min="15879" max="15879" width="14.5703125" style="239" customWidth="1"/>
    <col min="15880" max="16127" width="9.140625" style="239"/>
    <col min="16128" max="16128" width="14.85546875" style="239" bestFit="1" customWidth="1"/>
    <col min="16129" max="16129" width="21" style="239" customWidth="1"/>
    <col min="16130" max="16130" width="50.85546875" style="239" bestFit="1" customWidth="1"/>
    <col min="16131" max="16131" width="55.85546875" style="239" bestFit="1" customWidth="1"/>
    <col min="16132" max="16132" width="26.140625" style="239" customWidth="1"/>
    <col min="16133" max="16133" width="0" style="239" hidden="1" customWidth="1"/>
    <col min="16134" max="16134" width="7.42578125" style="239" customWidth="1"/>
    <col min="16135" max="16135" width="14.5703125" style="239" customWidth="1"/>
    <col min="16136" max="16384" width="9.140625" style="239"/>
  </cols>
  <sheetData>
    <row r="1" spans="1:9" s="232" customFormat="1" ht="18.75" x14ac:dyDescent="0.3">
      <c r="A1" s="231" t="s">
        <v>347</v>
      </c>
      <c r="C1" s="233"/>
      <c r="D1" s="234" t="s">
        <v>282</v>
      </c>
      <c r="E1" s="384">
        <v>44252</v>
      </c>
      <c r="F1" s="236"/>
      <c r="G1" s="237"/>
    </row>
    <row r="2" spans="1:9" ht="15" x14ac:dyDescent="0.25">
      <c r="A2" s="238"/>
      <c r="E2" s="62" t="s">
        <v>46</v>
      </c>
    </row>
    <row r="3" spans="1:9" ht="13.5" thickBot="1" x14ac:dyDescent="0.25">
      <c r="A3" s="241"/>
      <c r="B3" s="241"/>
      <c r="C3" s="240"/>
    </row>
    <row r="4" spans="1:9" s="240" customFormat="1" ht="21.75" thickBot="1" x14ac:dyDescent="0.25">
      <c r="A4" s="242"/>
      <c r="B4" s="242"/>
      <c r="C4" s="512" t="s">
        <v>283</v>
      </c>
      <c r="D4" s="513"/>
      <c r="H4" s="239"/>
    </row>
    <row r="5" spans="1:9" s="240" customFormat="1" ht="16.5" thickBot="1" x14ac:dyDescent="0.3">
      <c r="A5" s="243" t="s">
        <v>284</v>
      </c>
      <c r="B5" s="244" t="s">
        <v>285</v>
      </c>
      <c r="C5" s="245" t="s">
        <v>286</v>
      </c>
      <c r="D5" s="246" t="s">
        <v>287</v>
      </c>
      <c r="H5" s="239"/>
    </row>
    <row r="6" spans="1:9" s="240" customFormat="1" ht="15" x14ac:dyDescent="0.2">
      <c r="A6" s="514" t="s">
        <v>288</v>
      </c>
      <c r="B6" s="514" t="s">
        <v>35</v>
      </c>
      <c r="C6" s="522" t="s">
        <v>268</v>
      </c>
      <c r="D6" s="373" t="s">
        <v>348</v>
      </c>
      <c r="E6" s="247"/>
      <c r="H6" s="239"/>
    </row>
    <row r="7" spans="1:9" s="240" customFormat="1" ht="15.75" thickBot="1" x14ac:dyDescent="0.25">
      <c r="A7" s="514"/>
      <c r="B7" s="514"/>
      <c r="C7" s="523"/>
      <c r="D7" s="374" t="s">
        <v>349</v>
      </c>
      <c r="E7" s="248"/>
      <c r="H7" s="239"/>
    </row>
    <row r="8" spans="1:9" s="240" customFormat="1" ht="15" customHeight="1" x14ac:dyDescent="0.2">
      <c r="A8" s="514"/>
      <c r="B8" s="514"/>
      <c r="C8" s="516" t="s">
        <v>350</v>
      </c>
      <c r="D8" s="375" t="s">
        <v>351</v>
      </c>
      <c r="E8" s="248"/>
      <c r="H8" s="239"/>
    </row>
    <row r="9" spans="1:9" s="240" customFormat="1" ht="15" customHeight="1" x14ac:dyDescent="0.2">
      <c r="A9" s="514"/>
      <c r="B9" s="514"/>
      <c r="C9" s="514"/>
      <c r="D9" s="376" t="s">
        <v>352</v>
      </c>
      <c r="E9" s="248"/>
      <c r="H9" s="239"/>
    </row>
    <row r="10" spans="1:9" s="240" customFormat="1" ht="15" customHeight="1" x14ac:dyDescent="0.2">
      <c r="A10" s="514"/>
      <c r="B10" s="514"/>
      <c r="C10" s="514"/>
      <c r="D10" s="376" t="s">
        <v>298</v>
      </c>
      <c r="E10" s="248"/>
      <c r="H10" s="239"/>
    </row>
    <row r="11" spans="1:9" s="240" customFormat="1" ht="15.75" customHeight="1" x14ac:dyDescent="0.2">
      <c r="A11" s="514"/>
      <c r="B11" s="514"/>
      <c r="C11" s="514"/>
      <c r="D11" s="377" t="s">
        <v>297</v>
      </c>
      <c r="E11" s="249"/>
      <c r="H11" s="239"/>
      <c r="I11" s="360"/>
    </row>
    <row r="12" spans="1:9" s="240" customFormat="1" ht="15.75" customHeight="1" thickBot="1" x14ac:dyDescent="0.25">
      <c r="A12" s="514"/>
      <c r="B12" s="514"/>
      <c r="C12" s="515"/>
      <c r="D12" s="378" t="s">
        <v>300</v>
      </c>
      <c r="E12" s="249"/>
      <c r="H12" s="239"/>
      <c r="I12" s="360"/>
    </row>
    <row r="13" spans="1:9" s="240" customFormat="1" ht="16.5" thickBot="1" x14ac:dyDescent="0.25">
      <c r="A13" s="514"/>
      <c r="B13" s="514"/>
      <c r="C13" s="250" t="s">
        <v>353</v>
      </c>
      <c r="D13" s="379" t="s">
        <v>354</v>
      </c>
      <c r="H13" s="239"/>
    </row>
    <row r="14" spans="1:9" s="240" customFormat="1" ht="15" x14ac:dyDescent="0.2">
      <c r="A14" s="514"/>
      <c r="B14" s="514"/>
      <c r="C14" s="517" t="s">
        <v>240</v>
      </c>
      <c r="D14" s="373" t="s">
        <v>355</v>
      </c>
      <c r="H14" s="239"/>
    </row>
    <row r="15" spans="1:9" ht="15" x14ac:dyDescent="0.2">
      <c r="A15" s="514"/>
      <c r="B15" s="514"/>
      <c r="C15" s="518"/>
      <c r="D15" s="377" t="s">
        <v>356</v>
      </c>
    </row>
    <row r="16" spans="1:9" ht="15" x14ac:dyDescent="0.2">
      <c r="A16" s="514"/>
      <c r="B16" s="514"/>
      <c r="C16" s="518"/>
      <c r="D16" s="377" t="s">
        <v>309</v>
      </c>
    </row>
    <row r="17" spans="1:8" ht="15" x14ac:dyDescent="0.2">
      <c r="A17" s="514"/>
      <c r="B17" s="514"/>
      <c r="C17" s="518"/>
      <c r="D17" s="377" t="s">
        <v>357</v>
      </c>
    </row>
    <row r="18" spans="1:8" ht="15.75" thickBot="1" x14ac:dyDescent="0.25">
      <c r="A18" s="514"/>
      <c r="B18" s="514"/>
      <c r="C18" s="519"/>
      <c r="D18" s="380" t="s">
        <v>358</v>
      </c>
    </row>
    <row r="19" spans="1:8" ht="15.75" customHeight="1" x14ac:dyDescent="0.2">
      <c r="A19" s="514"/>
      <c r="B19" s="514"/>
      <c r="C19" s="528" t="s">
        <v>270</v>
      </c>
      <c r="D19" s="373" t="s">
        <v>359</v>
      </c>
    </row>
    <row r="20" spans="1:8" ht="15.75" customHeight="1" x14ac:dyDescent="0.2">
      <c r="A20" s="514"/>
      <c r="B20" s="514"/>
      <c r="C20" s="529"/>
      <c r="D20" s="381" t="s">
        <v>360</v>
      </c>
    </row>
    <row r="21" spans="1:8" ht="15.75" customHeight="1" x14ac:dyDescent="0.2">
      <c r="A21" s="514"/>
      <c r="B21" s="514"/>
      <c r="C21" s="529"/>
      <c r="D21" s="381" t="s">
        <v>361</v>
      </c>
    </row>
    <row r="22" spans="1:8" ht="15.75" customHeight="1" x14ac:dyDescent="0.2">
      <c r="A22" s="514"/>
      <c r="B22" s="514"/>
      <c r="C22" s="529"/>
      <c r="D22" s="381" t="s">
        <v>362</v>
      </c>
    </row>
    <row r="23" spans="1:8" ht="15.75" customHeight="1" x14ac:dyDescent="0.2">
      <c r="A23" s="514"/>
      <c r="B23" s="514"/>
      <c r="C23" s="529"/>
      <c r="D23" s="381" t="s">
        <v>363</v>
      </c>
    </row>
    <row r="24" spans="1:8" ht="15.75" customHeight="1" thickBot="1" x14ac:dyDescent="0.25">
      <c r="A24" s="514"/>
      <c r="B24" s="514"/>
      <c r="C24" s="529"/>
      <c r="D24" s="381" t="s">
        <v>364</v>
      </c>
    </row>
    <row r="25" spans="1:8" ht="15" x14ac:dyDescent="0.2">
      <c r="A25" s="514"/>
      <c r="B25" s="514"/>
      <c r="C25" s="524" t="s">
        <v>241</v>
      </c>
      <c r="D25" s="373" t="s">
        <v>365</v>
      </c>
    </row>
    <row r="26" spans="1:8" ht="15" x14ac:dyDescent="0.2">
      <c r="A26" s="514"/>
      <c r="B26" s="514"/>
      <c r="C26" s="525"/>
      <c r="D26" s="377" t="s">
        <v>366</v>
      </c>
    </row>
    <row r="27" spans="1:8" ht="15" x14ac:dyDescent="0.2">
      <c r="A27" s="514"/>
      <c r="B27" s="514"/>
      <c r="C27" s="525"/>
      <c r="D27" s="377" t="s">
        <v>316</v>
      </c>
    </row>
    <row r="28" spans="1:8" ht="15" x14ac:dyDescent="0.2">
      <c r="A28" s="514"/>
      <c r="B28" s="514"/>
      <c r="C28" s="525"/>
      <c r="D28" s="377" t="s">
        <v>367</v>
      </c>
    </row>
    <row r="29" spans="1:8" ht="15" x14ac:dyDescent="0.2">
      <c r="A29" s="514"/>
      <c r="B29" s="514"/>
      <c r="C29" s="525"/>
      <c r="D29" s="377" t="s">
        <v>368</v>
      </c>
    </row>
    <row r="30" spans="1:8" ht="15" x14ac:dyDescent="0.2">
      <c r="A30" s="514"/>
      <c r="B30" s="514"/>
      <c r="C30" s="525"/>
      <c r="D30" s="377" t="s">
        <v>369</v>
      </c>
    </row>
    <row r="31" spans="1:8" ht="15" x14ac:dyDescent="0.2">
      <c r="A31" s="514"/>
      <c r="B31" s="514"/>
      <c r="C31" s="525"/>
      <c r="D31" s="377" t="s">
        <v>370</v>
      </c>
      <c r="F31" s="252"/>
      <c r="G31" s="252"/>
      <c r="H31" s="252"/>
    </row>
    <row r="32" spans="1:8" ht="15" x14ac:dyDescent="0.2">
      <c r="A32" s="514"/>
      <c r="B32" s="514"/>
      <c r="C32" s="525"/>
      <c r="D32" s="382" t="s">
        <v>371</v>
      </c>
      <c r="F32" s="252"/>
      <c r="G32" s="252"/>
      <c r="H32" s="252"/>
    </row>
    <row r="33" spans="1:8" ht="15" x14ac:dyDescent="0.2">
      <c r="A33" s="514"/>
      <c r="B33" s="514"/>
      <c r="C33" s="525"/>
      <c r="D33" s="382" t="s">
        <v>372</v>
      </c>
      <c r="F33" s="252"/>
      <c r="G33" s="252"/>
      <c r="H33" s="252"/>
    </row>
    <row r="34" spans="1:8" ht="15" x14ac:dyDescent="0.2">
      <c r="A34" s="514"/>
      <c r="B34" s="514"/>
      <c r="C34" s="525"/>
      <c r="D34" s="377" t="s">
        <v>373</v>
      </c>
      <c r="F34" s="252"/>
      <c r="G34" s="252"/>
      <c r="H34" s="252"/>
    </row>
    <row r="35" spans="1:8" ht="15.75" thickBot="1" x14ac:dyDescent="0.25">
      <c r="A35" s="514"/>
      <c r="B35" s="514"/>
      <c r="C35" s="526"/>
      <c r="D35" s="378" t="s">
        <v>374</v>
      </c>
      <c r="F35" s="252"/>
      <c r="G35" s="252"/>
      <c r="H35" s="252"/>
    </row>
    <row r="36" spans="1:8" ht="15" x14ac:dyDescent="0.2">
      <c r="A36" s="514"/>
      <c r="B36" s="514"/>
      <c r="C36" s="524" t="s">
        <v>242</v>
      </c>
      <c r="D36" s="373" t="s">
        <v>375</v>
      </c>
      <c r="F36" s="252"/>
      <c r="G36" s="252"/>
      <c r="H36" s="252"/>
    </row>
    <row r="37" spans="1:8" ht="15" x14ac:dyDescent="0.2">
      <c r="A37" s="514"/>
      <c r="B37" s="514"/>
      <c r="C37" s="525"/>
      <c r="D37" s="381" t="s">
        <v>376</v>
      </c>
      <c r="F37" s="252"/>
      <c r="G37" s="252"/>
      <c r="H37" s="252"/>
    </row>
    <row r="38" spans="1:8" ht="15" x14ac:dyDescent="0.2">
      <c r="A38" s="514"/>
      <c r="B38" s="514"/>
      <c r="C38" s="525"/>
      <c r="D38" s="381" t="s">
        <v>377</v>
      </c>
      <c r="F38" s="252"/>
      <c r="G38" s="252"/>
      <c r="H38" s="252"/>
    </row>
    <row r="39" spans="1:8" ht="15" x14ac:dyDescent="0.2">
      <c r="A39" s="514"/>
      <c r="B39" s="514"/>
      <c r="C39" s="525"/>
      <c r="D39" s="381" t="s">
        <v>378</v>
      </c>
      <c r="F39" s="252"/>
      <c r="G39" s="252"/>
      <c r="H39" s="252"/>
    </row>
    <row r="40" spans="1:8" ht="15" x14ac:dyDescent="0.2">
      <c r="A40" s="514"/>
      <c r="B40" s="514"/>
      <c r="C40" s="525"/>
      <c r="D40" s="381" t="s">
        <v>379</v>
      </c>
      <c r="F40" s="252"/>
      <c r="G40" s="252"/>
      <c r="H40" s="252"/>
    </row>
    <row r="41" spans="1:8" ht="15.75" thickBot="1" x14ac:dyDescent="0.25">
      <c r="A41" s="514"/>
      <c r="B41" s="514"/>
      <c r="C41" s="525"/>
      <c r="D41" s="380" t="s">
        <v>380</v>
      </c>
      <c r="F41" s="252"/>
      <c r="G41" s="252"/>
      <c r="H41" s="252"/>
    </row>
    <row r="42" spans="1:8" ht="15.75" customHeight="1" x14ac:dyDescent="0.2">
      <c r="A42" s="514"/>
      <c r="B42" s="521"/>
      <c r="C42" s="524" t="s">
        <v>243</v>
      </c>
      <c r="D42" s="377" t="s">
        <v>329</v>
      </c>
      <c r="F42" s="254"/>
      <c r="G42" s="254"/>
      <c r="H42" s="254"/>
    </row>
    <row r="43" spans="1:8" ht="15.75" customHeight="1" x14ac:dyDescent="0.2">
      <c r="A43" s="514"/>
      <c r="B43" s="521"/>
      <c r="C43" s="525"/>
      <c r="D43" s="377" t="s">
        <v>381</v>
      </c>
      <c r="F43" s="254"/>
      <c r="G43" s="254"/>
      <c r="H43" s="254"/>
    </row>
    <row r="44" spans="1:8" ht="15.75" customHeight="1" x14ac:dyDescent="0.2">
      <c r="A44" s="514"/>
      <c r="B44" s="521"/>
      <c r="C44" s="525"/>
      <c r="D44" s="377" t="s">
        <v>382</v>
      </c>
      <c r="F44" s="254"/>
      <c r="G44" s="254"/>
      <c r="H44" s="254"/>
    </row>
    <row r="45" spans="1:8" ht="15.75" customHeight="1" x14ac:dyDescent="0.2">
      <c r="A45" s="514"/>
      <c r="B45" s="521"/>
      <c r="C45" s="525"/>
      <c r="D45" s="377" t="s">
        <v>383</v>
      </c>
      <c r="F45" s="254"/>
      <c r="G45" s="254"/>
      <c r="H45" s="254"/>
    </row>
    <row r="46" spans="1:8" ht="15.75" customHeight="1" x14ac:dyDescent="0.2">
      <c r="A46" s="514"/>
      <c r="B46" s="521"/>
      <c r="C46" s="525"/>
      <c r="D46" s="377" t="s">
        <v>384</v>
      </c>
      <c r="F46" s="254"/>
      <c r="G46" s="254"/>
      <c r="H46" s="254"/>
    </row>
    <row r="47" spans="1:8" ht="15.75" customHeight="1" x14ac:dyDescent="0.2">
      <c r="A47" s="514"/>
      <c r="B47" s="521"/>
      <c r="C47" s="525"/>
      <c r="D47" s="377" t="s">
        <v>385</v>
      </c>
      <c r="F47" s="254"/>
      <c r="G47" s="254"/>
      <c r="H47" s="254"/>
    </row>
    <row r="48" spans="1:8" ht="15.75" customHeight="1" x14ac:dyDescent="0.2">
      <c r="A48" s="514"/>
      <c r="B48" s="521"/>
      <c r="C48" s="525"/>
      <c r="D48" s="377" t="s">
        <v>337</v>
      </c>
      <c r="F48" s="254"/>
      <c r="G48" s="254"/>
      <c r="H48" s="254"/>
    </row>
    <row r="49" spans="1:8" ht="15.75" customHeight="1" x14ac:dyDescent="0.2">
      <c r="A49" s="514"/>
      <c r="B49" s="521"/>
      <c r="C49" s="525"/>
      <c r="D49" s="377" t="s">
        <v>386</v>
      </c>
      <c r="F49" s="254"/>
      <c r="G49" s="254"/>
      <c r="H49" s="254"/>
    </row>
    <row r="50" spans="1:8" ht="15.75" customHeight="1" x14ac:dyDescent="0.2">
      <c r="A50" s="514"/>
      <c r="B50" s="521"/>
      <c r="C50" s="525"/>
      <c r="D50" s="377" t="s">
        <v>387</v>
      </c>
      <c r="F50" s="254"/>
      <c r="G50" s="254"/>
      <c r="H50" s="254"/>
    </row>
    <row r="51" spans="1:8" ht="15.75" thickBot="1" x14ac:dyDescent="0.25">
      <c r="A51" s="514"/>
      <c r="B51" s="521"/>
      <c r="C51" s="526"/>
      <c r="D51" s="383" t="s">
        <v>341</v>
      </c>
      <c r="F51" s="254"/>
      <c r="G51" s="254"/>
      <c r="H51" s="254"/>
    </row>
    <row r="52" spans="1:8" ht="16.5" thickBot="1" x14ac:dyDescent="0.25">
      <c r="A52" s="514"/>
      <c r="B52" s="514"/>
      <c r="C52" s="333" t="s">
        <v>177</v>
      </c>
      <c r="D52" s="334" t="s">
        <v>342</v>
      </c>
      <c r="F52" s="254"/>
      <c r="G52" s="254"/>
      <c r="H52" s="254"/>
    </row>
    <row r="53" spans="1:8" ht="19.5" thickBot="1" x14ac:dyDescent="0.25">
      <c r="A53" s="514"/>
      <c r="B53" s="514"/>
      <c r="C53" s="527" t="s">
        <v>343</v>
      </c>
      <c r="D53" s="520"/>
      <c r="F53" s="254"/>
      <c r="G53" s="254"/>
      <c r="H53" s="254"/>
    </row>
    <row r="54" spans="1:8" ht="16.5" thickBot="1" x14ac:dyDescent="0.3">
      <c r="A54" s="514"/>
      <c r="B54" s="514"/>
      <c r="C54" s="243" t="s">
        <v>344</v>
      </c>
      <c r="D54" s="246" t="s">
        <v>345</v>
      </c>
      <c r="F54" s="252"/>
      <c r="G54" s="252"/>
    </row>
    <row r="55" spans="1:8" x14ac:dyDescent="0.2">
      <c r="A55" s="514"/>
      <c r="B55" s="514"/>
      <c r="C55" s="256"/>
      <c r="D55" s="257"/>
      <c r="F55" s="252"/>
      <c r="G55" s="252"/>
    </row>
    <row r="56" spans="1:8" x14ac:dyDescent="0.2">
      <c r="A56" s="514"/>
      <c r="B56" s="514"/>
      <c r="C56" s="258"/>
      <c r="D56" s="259"/>
      <c r="F56" s="252"/>
      <c r="G56" s="252"/>
    </row>
    <row r="57" spans="1:8" x14ac:dyDescent="0.2">
      <c r="A57" s="514"/>
      <c r="B57" s="514"/>
      <c r="C57" s="260"/>
      <c r="D57" s="259"/>
      <c r="F57" s="252"/>
      <c r="G57" s="252"/>
    </row>
    <row r="58" spans="1:8" x14ac:dyDescent="0.2">
      <c r="A58" s="514"/>
      <c r="B58" s="514"/>
      <c r="C58" s="258"/>
      <c r="D58" s="259"/>
      <c r="F58" s="252"/>
      <c r="G58" s="252"/>
    </row>
    <row r="59" spans="1:8" x14ac:dyDescent="0.2">
      <c r="A59" s="514"/>
      <c r="B59" s="514"/>
      <c r="C59" s="260"/>
      <c r="D59" s="259"/>
      <c r="F59" s="252"/>
      <c r="G59" s="252"/>
    </row>
    <row r="60" spans="1:8" x14ac:dyDescent="0.2">
      <c r="A60" s="514"/>
      <c r="B60" s="514"/>
      <c r="C60" s="258"/>
      <c r="D60" s="261"/>
      <c r="F60" s="252"/>
      <c r="G60" s="252"/>
    </row>
    <row r="61" spans="1:8" x14ac:dyDescent="0.2">
      <c r="A61" s="514"/>
      <c r="B61" s="514"/>
      <c r="C61" s="262"/>
      <c r="D61" s="261"/>
      <c r="F61" s="252"/>
      <c r="G61" s="252"/>
    </row>
    <row r="62" spans="1:8" ht="13.5" thickBot="1" x14ac:dyDescent="0.25">
      <c r="A62" s="515"/>
      <c r="B62" s="515"/>
      <c r="C62" s="263"/>
      <c r="D62" s="264"/>
      <c r="F62" s="265"/>
      <c r="G62" s="265"/>
    </row>
    <row r="63" spans="1:8" x14ac:dyDescent="0.2">
      <c r="A63" s="266"/>
      <c r="B63" s="267"/>
      <c r="C63" s="268"/>
      <c r="D63" s="269"/>
      <c r="E63" s="270"/>
      <c r="F63" s="271"/>
      <c r="G63" s="272"/>
    </row>
    <row r="64" spans="1:8" x14ac:dyDescent="0.2">
      <c r="A64" s="273"/>
    </row>
    <row r="65" spans="1:7" ht="15.75" x14ac:dyDescent="0.2">
      <c r="A65" s="274" t="s">
        <v>346</v>
      </c>
      <c r="B65" s="275"/>
      <c r="C65" s="276"/>
      <c r="D65" s="276"/>
      <c r="E65" s="277"/>
      <c r="F65" s="271"/>
      <c r="G65" s="271"/>
    </row>
    <row r="66" spans="1:7" x14ac:dyDescent="0.2">
      <c r="E66" s="277"/>
      <c r="F66" s="271"/>
      <c r="G66" s="271"/>
    </row>
    <row r="67" spans="1:7" x14ac:dyDescent="0.2">
      <c r="E67" s="277"/>
      <c r="F67" s="271"/>
      <c r="G67" s="271"/>
    </row>
    <row r="68" spans="1:7" x14ac:dyDescent="0.2">
      <c r="E68" s="277"/>
      <c r="F68" s="271"/>
      <c r="G68" s="271"/>
    </row>
    <row r="69" spans="1:7" x14ac:dyDescent="0.2">
      <c r="E69" s="277"/>
      <c r="F69" s="271"/>
      <c r="G69" s="278"/>
    </row>
  </sheetData>
  <sortState xmlns:xlrd2="http://schemas.microsoft.com/office/spreadsheetml/2017/richdata2" ref="D42:D51">
    <sortCondition ref="D42:D51"/>
  </sortState>
  <mergeCells count="11">
    <mergeCell ref="C4:D4"/>
    <mergeCell ref="A6:A62"/>
    <mergeCell ref="B6:B62"/>
    <mergeCell ref="C6:C7"/>
    <mergeCell ref="C14:C18"/>
    <mergeCell ref="C25:C35"/>
    <mergeCell ref="C53:D53"/>
    <mergeCell ref="C36:C41"/>
    <mergeCell ref="C19:C24"/>
    <mergeCell ref="C8:C12"/>
    <mergeCell ref="C42:C51"/>
  </mergeCells>
  <hyperlinks>
    <hyperlink ref="E1" r:id="rId1" display="https://cpf.navy.deps.mil/sites/cnap/N42/N422/Shared Documents/Forms/AllItems.aspx?RootFolder=%2Fsites%2Fcnap%2FN42%2FN422%2FShared%20Documents%2FN422C%20NAMP%2FMESMs&amp;FolderCTID=0x012000212BF25147D011499F67519C86833776&amp;View=%7BF9722C85%2DD3E2%2D452F%2DA30A%2D0A20CED3DE37%7D" xr:uid="{00000000-0004-0000-0C00-000000000000}"/>
    <hyperlink ref="E2" location="Inventory!A1" display="Inventory" xr:uid="{00000000-0004-0000-0C00-000001000000}"/>
  </hyperlinks>
  <pageMargins left="0.25" right="0.25" top="0.25" bottom="0.25" header="0.5" footer="0.5"/>
  <pageSetup scale="80" orientation="landscape" horizontalDpi="300" verticalDpi="300" r:id="rId2"/>
  <headerFooter alignWithMargins="0"/>
  <drawing r:id="rId3"/>
  <legacy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7"/>
  <sheetViews>
    <sheetView showGridLines="0" workbookViewId="0"/>
  </sheetViews>
  <sheetFormatPr defaultRowHeight="15" x14ac:dyDescent="0.25"/>
  <cols>
    <col min="1" max="1" width="16" style="41" bestFit="1" customWidth="1"/>
    <col min="2" max="2" width="100.85546875" style="41" customWidth="1"/>
    <col min="3" max="16384" width="9.140625" style="41"/>
  </cols>
  <sheetData>
    <row r="1" spans="1:2" x14ac:dyDescent="0.25">
      <c r="A1" s="238" t="s">
        <v>46</v>
      </c>
    </row>
    <row r="3" spans="1:2" x14ac:dyDescent="0.25">
      <c r="A3" s="53" t="s">
        <v>388</v>
      </c>
      <c r="B3" s="53" t="s">
        <v>389</v>
      </c>
    </row>
    <row r="4" spans="1:2" ht="60" x14ac:dyDescent="0.25">
      <c r="A4" s="55" t="s">
        <v>177</v>
      </c>
      <c r="B4" s="338" t="s">
        <v>390</v>
      </c>
    </row>
    <row r="5" spans="1:2" x14ac:dyDescent="0.25">
      <c r="A5" s="58"/>
      <c r="B5" s="58"/>
    </row>
    <row r="6" spans="1:2" x14ac:dyDescent="0.25">
      <c r="A6" s="58"/>
      <c r="B6" s="58"/>
    </row>
    <row r="7" spans="1:2" x14ac:dyDescent="0.25">
      <c r="A7" s="58"/>
      <c r="B7" s="58"/>
    </row>
    <row r="8" spans="1:2" x14ac:dyDescent="0.25">
      <c r="A8" s="58"/>
      <c r="B8" s="58"/>
    </row>
    <row r="9" spans="1:2" x14ac:dyDescent="0.25">
      <c r="A9" s="58"/>
      <c r="B9" s="58"/>
    </row>
    <row r="10" spans="1:2" x14ac:dyDescent="0.25">
      <c r="A10" s="58"/>
      <c r="B10" s="58"/>
    </row>
    <row r="11" spans="1:2" x14ac:dyDescent="0.25">
      <c r="A11" s="58"/>
      <c r="B11" s="58"/>
    </row>
    <row r="12" spans="1:2" x14ac:dyDescent="0.25">
      <c r="A12" s="58"/>
      <c r="B12" s="58"/>
    </row>
    <row r="13" spans="1:2" x14ac:dyDescent="0.25">
      <c r="A13" s="58"/>
      <c r="B13" s="58"/>
    </row>
    <row r="14" spans="1:2" x14ac:dyDescent="0.25">
      <c r="A14" s="58"/>
      <c r="B14" s="58"/>
    </row>
    <row r="15" spans="1:2" x14ac:dyDescent="0.25">
      <c r="A15" s="58"/>
      <c r="B15" s="58"/>
    </row>
    <row r="16" spans="1:2" x14ac:dyDescent="0.25">
      <c r="A16" s="58"/>
      <c r="B16" s="58"/>
    </row>
    <row r="17" spans="1:2" x14ac:dyDescent="0.25">
      <c r="A17" s="58"/>
      <c r="B17" s="58"/>
    </row>
  </sheetData>
  <hyperlinks>
    <hyperlink ref="A1" location="Inventory!A1" display="Inventory" xr:uid="{00000000-0004-0000-0D00-000000000000}"/>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file>

<file path=customXml/item3.xml><?xml version="1.0" encoding="utf-8"?>
<ct:contentTypeSchema xmlns:ct="http://schemas.microsoft.com/office/2006/metadata/contentType" xmlns:ma="http://schemas.microsoft.com/office/2006/metadata/properties/metaAttributes" ct:_="" ma:_="" ma:contentTypeName="Document" ma:contentTypeID="0x010100EBCDAB2F88775145B114997D7E3EC086" ma:contentTypeVersion="5" ma:contentTypeDescription="Create a new document." ma:contentTypeScope="" ma:versionID="ac8e86be52442a466a4d1d49b35ea697">
  <xsd:schema xmlns:xsd="http://www.w3.org/2001/XMLSchema" xmlns:xs="http://www.w3.org/2001/XMLSchema" xmlns:p="http://schemas.microsoft.com/office/2006/metadata/properties" xmlns:ns2="f33575d1-c635-47cb-9f2e-8b33b5cd6ba3" targetNamespace="http://schemas.microsoft.com/office/2006/metadata/properties" ma:root="true" ma:fieldsID="4f20e3f97fa5e7b089bcd9af969c5083" ns2:_="">
    <xsd:import namespace="f33575d1-c635-47cb-9f2e-8b33b5cd6ba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3575d1-c635-47cb-9f2e-8b33b5cd6b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2AC3E2-86B4-4114-91A4-25846C8E6B12}">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f33575d1-c635-47cb-9f2e-8b33b5cd6ba3"/>
    <ds:schemaRef ds:uri="http://www.w3.org/XML/1998/namespace"/>
  </ds:schemaRefs>
</ds:datastoreItem>
</file>

<file path=customXml/itemProps2.xml><?xml version="1.0" encoding="utf-8"?>
<ds:datastoreItem xmlns:ds="http://schemas.openxmlformats.org/officeDocument/2006/customXml" ds:itemID="{4C7B09ED-6A80-442D-8479-8E95B2489FBC}">
  <ds:schemaRefs>
    <ds:schemaRef ds:uri="http://schemas.microsoft.com/sharepoint/v3/contenttype/forms"/>
  </ds:schemaRefs>
</ds:datastoreItem>
</file>

<file path=customXml/itemProps3.xml><?xml version="1.0" encoding="utf-8"?>
<ds:datastoreItem xmlns:ds="http://schemas.openxmlformats.org/officeDocument/2006/customXml" ds:itemID="{E935C31A-E3A4-494C-9165-D6EAA9BB8A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3575d1-c635-47cb-9f2e-8b33b5cd6b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Inventory</vt:lpstr>
      <vt:lpstr>Log</vt:lpstr>
      <vt:lpstr>VAW E-2D CVW DRRS(U)</vt:lpstr>
      <vt:lpstr>VAW E-2C FDNF DRRS(U)</vt:lpstr>
      <vt:lpstr>VAW E2D FDNF DRRS(U)</vt:lpstr>
      <vt:lpstr>VAW E-2C CVW DRRS(U)</vt:lpstr>
      <vt:lpstr>VAW (E-2C-D FRS)</vt:lpstr>
      <vt:lpstr>VAW E-2D PDAA</vt:lpstr>
      <vt:lpstr>VAW E-2C Reduced MET Matrix</vt:lpstr>
      <vt:lpstr>VAW E-2D Reduced MET Matrix</vt:lpstr>
      <vt:lpstr>E-2 Mission System Summary</vt:lpstr>
      <vt:lpstr>VAW E-2C Mission Systems</vt:lpstr>
      <vt:lpstr>VAW E-2D Mission Systems</vt:lpstr>
      <vt:lpstr>Definitions</vt:lpstr>
      <vt:lpstr>'VAW E-2C FDNF DRRS(U)'!Print_Area</vt:lpstr>
    </vt:vector>
  </TitlesOfParts>
  <Manager/>
  <Company>NMCI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02</dc:title>
  <dc:subject/>
  <dc:creator>michael.fleetwood</dc:creator>
  <cp:keywords/>
  <dc:description/>
  <cp:lastModifiedBy>Mark Bodoh</cp:lastModifiedBy>
  <cp:revision/>
  <dcterms:created xsi:type="dcterms:W3CDTF">2011-04-14T14:59:15Z</dcterms:created>
  <dcterms:modified xsi:type="dcterms:W3CDTF">2023-04-05T23:47:22Z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0x010100EBCDAB2F88775145B114997D7E3EC086</vt:lpwstr>
  </property>
  <property fmtid="{D5CDD505-2E9C-101B-9397-08002B2CF9AE}" pid="3" name="MSIP_Label_afe64f26-154f-4743-927e-a7310aa86873_Enabled">
    <vt:lpwstr>true</vt:lpwstr>
  </property>
  <property fmtid="{D5CDD505-2E9C-101B-9397-08002B2CF9AE}" pid="4" name="MSIP_Label_afe64f26-154f-4743-927e-a7310aa86873_SetDate">
    <vt:lpwstr>2023-04-05T23:47:02Z</vt:lpwstr>
  </property>
  <property fmtid="{D5CDD505-2E9C-101B-9397-08002B2CF9AE}" pid="5" name="MSIP_Label_afe64f26-154f-4743-927e-a7310aa86873_Method">
    <vt:lpwstr>Privileged</vt:lpwstr>
  </property>
  <property fmtid="{D5CDD505-2E9C-101B-9397-08002B2CF9AE}" pid="6" name="MSIP_Label_afe64f26-154f-4743-927e-a7310aa86873_Name">
    <vt:lpwstr>GovernmentData</vt:lpwstr>
  </property>
  <property fmtid="{D5CDD505-2E9C-101B-9397-08002B2CF9AE}" pid="7" name="MSIP_Label_afe64f26-154f-4743-927e-a7310aa86873_SiteId">
    <vt:lpwstr>29ac9fa0-83e8-40a8-914f-a74b1c9c46d0</vt:lpwstr>
  </property>
  <property fmtid="{D5CDD505-2E9C-101B-9397-08002B2CF9AE}" pid="8" name="MSIP_Label_afe64f26-154f-4743-927e-a7310aa86873_ActionId">
    <vt:lpwstr>79389272-25bb-4ce8-ba93-9b45505142a1</vt:lpwstr>
  </property>
  <property fmtid="{D5CDD505-2E9C-101B-9397-08002B2CF9AE}" pid="9" name="MSIP_Label_afe64f26-154f-4743-927e-a7310aa86873_ContentBits">
    <vt:lpwstr>0</vt:lpwstr>
  </property>
</Properties>
</file>